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FLLA\MENOR\2024\2. VIGILANCIA II\1. APERTURA\"/>
    </mc:Choice>
  </mc:AlternateContent>
  <xr:revisionPtr revIDLastSave="0" documentId="13_ncr:1_{BE968DA1-3644-4ACE-AA05-5899A95AB1B8}" xr6:coauthVersionLast="47" xr6:coauthVersionMax="47" xr10:uidLastSave="{00000000-0000-0000-0000-000000000000}"/>
  <bookViews>
    <workbookView xWindow="-120" yWindow="-120" windowWidth="29040" windowHeight="15720" tabRatio="785" firstSheet="2" activeTab="2" xr2:uid="{00000000-000D-0000-FFFF-FFFF00000000}"/>
  </bookViews>
  <sheets>
    <sheet name="DICIEMBRE 2022+ENERO2023 13 dia" sheetId="24" state="hidden" r:id="rId1"/>
    <sheet name="2023 (2)" sheetId="25" state="hidden" r:id="rId2"/>
    <sheet name="Propuesta Economica 2024" sheetId="19" r:id="rId3"/>
    <sheet name="PROPUESTA INCREMENTO2023" sheetId="21" state="hidden" r:id="rId4"/>
    <sheet name="PROPUESTA ECONOMICA ORIGINAL" sheetId="13" state="hidden" r:id="rId5"/>
  </sheets>
  <definedNames>
    <definedName name="_xlnm.Print_Area" localSheetId="1">'2023 (2)'!$A$1:$M$47</definedName>
    <definedName name="_xlnm.Print_Area" localSheetId="0">'DICIEMBRE 2022+ENERO2023 13 dia'!$A$1:$M$47</definedName>
    <definedName name="_xlnm.Print_Area" localSheetId="2">'Propuesta Economica 2024'!$A$12:$L$40</definedName>
    <definedName name="_xlnm.Print_Area" localSheetId="4">'PROPUESTA ECONOMICA ORIGINAL'!$A$1:$M$55</definedName>
    <definedName name="_xlnm.Print_Area" localSheetId="3">'PROPUESTA INCREMENTO2023'!$A$1:$N$50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3" i="19" l="1"/>
  <c r="I63" i="19" s="1"/>
  <c r="F62" i="19"/>
  <c r="I62" i="19" s="1"/>
  <c r="F59" i="19"/>
  <c r="I59" i="19" s="1"/>
  <c r="G58" i="19"/>
  <c r="F56" i="19"/>
  <c r="I56" i="19" s="1"/>
  <c r="F55" i="19"/>
  <c r="F54" i="19"/>
  <c r="F52" i="19"/>
  <c r="I52" i="19" s="1"/>
  <c r="J52" i="19" s="1"/>
  <c r="F49" i="19"/>
  <c r="I49" i="19" s="1"/>
  <c r="J49" i="19" s="1"/>
  <c r="K49" i="19" s="1"/>
  <c r="F48" i="19"/>
  <c r="I48" i="19" s="1"/>
  <c r="F64" i="19" l="1"/>
  <c r="I64" i="19" s="1"/>
  <c r="J64" i="19" s="1"/>
  <c r="K64" i="19" s="1"/>
  <c r="L64" i="19" s="1"/>
  <c r="G66" i="19"/>
  <c r="I66" i="19" s="1"/>
  <c r="J66" i="19" s="1"/>
  <c r="K66" i="19" s="1"/>
  <c r="L66" i="19" s="1"/>
  <c r="J59" i="19"/>
  <c r="K59" i="19" s="1"/>
  <c r="L59" i="19" s="1"/>
  <c r="J63" i="19"/>
  <c r="K63" i="19" s="1"/>
  <c r="L63" i="19" s="1"/>
  <c r="J56" i="19"/>
  <c r="K56" i="19" s="1"/>
  <c r="L56" i="19" s="1"/>
  <c r="K52" i="19"/>
  <c r="L52" i="19" s="1"/>
  <c r="F50" i="19"/>
  <c r="I50" i="19" s="1"/>
  <c r="I55" i="19"/>
  <c r="F57" i="19"/>
  <c r="I57" i="19" s="1"/>
  <c r="J62" i="19"/>
  <c r="K62" i="19" s="1"/>
  <c r="L62" i="19" s="1"/>
  <c r="L49" i="19"/>
  <c r="I58" i="19"/>
  <c r="J48" i="19"/>
  <c r="K48" i="19" s="1"/>
  <c r="L48" i="19" s="1"/>
  <c r="F51" i="19"/>
  <c r="I51" i="19" s="1"/>
  <c r="F53" i="19"/>
  <c r="I53" i="19" s="1"/>
  <c r="I54" i="19"/>
  <c r="J53" i="19" l="1"/>
  <c r="K53" i="19" s="1"/>
  <c r="L53" i="19" s="1"/>
  <c r="J54" i="19"/>
  <c r="K54" i="19" s="1"/>
  <c r="L54" i="19" s="1"/>
  <c r="J57" i="19"/>
  <c r="K57" i="19" s="1"/>
  <c r="L57" i="19" s="1"/>
  <c r="J51" i="19"/>
  <c r="K51" i="19" s="1"/>
  <c r="L51" i="19" s="1"/>
  <c r="F65" i="19"/>
  <c r="I65" i="19" s="1"/>
  <c r="J50" i="19"/>
  <c r="K50" i="19" s="1"/>
  <c r="L50" i="19" s="1"/>
  <c r="J55" i="19"/>
  <c r="K55" i="19" s="1"/>
  <c r="L55" i="19" s="1"/>
  <c r="J58" i="19"/>
  <c r="K58" i="19" s="1"/>
  <c r="L58" i="19" s="1"/>
  <c r="L60" i="19" l="1"/>
  <c r="J65" i="19"/>
  <c r="K65" i="19" s="1"/>
  <c r="L65" i="19" s="1"/>
  <c r="L67" i="19" s="1"/>
  <c r="L68" i="19" l="1"/>
  <c r="F11" i="25" l="1"/>
  <c r="F32" i="25" l="1"/>
  <c r="G32" i="25" s="1"/>
  <c r="F31" i="25"/>
  <c r="F29" i="25"/>
  <c r="G29" i="25" s="1"/>
  <c r="J29" i="25" s="1"/>
  <c r="F28" i="25"/>
  <c r="G28" i="25" s="1"/>
  <c r="F25" i="25"/>
  <c r="F23" i="25"/>
  <c r="G23" i="25" s="1"/>
  <c r="J23" i="25" s="1"/>
  <c r="F22" i="25"/>
  <c r="F21" i="25"/>
  <c r="G21" i="25" s="1"/>
  <c r="F18" i="25"/>
  <c r="F17" i="25"/>
  <c r="G17" i="25" s="1"/>
  <c r="F14" i="25"/>
  <c r="F13" i="25"/>
  <c r="F33" i="25"/>
  <c r="K29" i="25" l="1"/>
  <c r="L29" i="25" s="1"/>
  <c r="M29" i="25"/>
  <c r="I33" i="25"/>
  <c r="J33" i="25" s="1"/>
  <c r="K23" i="25"/>
  <c r="L23" i="25" s="1"/>
  <c r="M23" i="25" s="1"/>
  <c r="G14" i="25"/>
  <c r="J14" i="25" s="1"/>
  <c r="G13" i="25"/>
  <c r="J13" i="25" s="1"/>
  <c r="G25" i="25"/>
  <c r="J25" i="25" s="1"/>
  <c r="J32" i="25"/>
  <c r="F35" i="25"/>
  <c r="F12" i="25"/>
  <c r="F16" i="25"/>
  <c r="J17" i="25"/>
  <c r="F20" i="25"/>
  <c r="J21" i="25"/>
  <c r="F24" i="25"/>
  <c r="G31" i="25"/>
  <c r="J31" i="25" s="1"/>
  <c r="G18" i="25"/>
  <c r="J18" i="25" s="1"/>
  <c r="J28" i="25"/>
  <c r="F30" i="25"/>
  <c r="F34" i="25"/>
  <c r="G22" i="25"/>
  <c r="J22" i="25" s="1"/>
  <c r="F15" i="25"/>
  <c r="F19" i="25"/>
  <c r="G11" i="25"/>
  <c r="J11" i="25" s="1"/>
  <c r="M38" i="24"/>
  <c r="F29" i="24"/>
  <c r="F25" i="24"/>
  <c r="F35" i="24" s="1"/>
  <c r="G35" i="24" s="1"/>
  <c r="J35" i="24" s="1"/>
  <c r="F23" i="24"/>
  <c r="F11" i="24"/>
  <c r="F24" i="24" s="1"/>
  <c r="F23" i="19" l="1"/>
  <c r="I23" i="19" s="1"/>
  <c r="K22" i="25"/>
  <c r="L22" i="25" s="1"/>
  <c r="M22" i="25" s="1"/>
  <c r="K14" i="25"/>
  <c r="L14" i="25" s="1"/>
  <c r="M14" i="25" s="1"/>
  <c r="K31" i="25"/>
  <c r="L31" i="25" s="1"/>
  <c r="M31" i="25" s="1"/>
  <c r="K33" i="25"/>
  <c r="L33" i="25" s="1"/>
  <c r="M33" i="25" s="1"/>
  <c r="G16" i="25"/>
  <c r="J16" i="25" s="1"/>
  <c r="G35" i="25"/>
  <c r="J35" i="25" s="1"/>
  <c r="K32" i="25"/>
  <c r="L32" i="25" s="1"/>
  <c r="M32" i="25" s="1"/>
  <c r="G30" i="25"/>
  <c r="J30" i="25" s="1"/>
  <c r="K25" i="25"/>
  <c r="L25" i="25" s="1"/>
  <c r="M25" i="25" s="1"/>
  <c r="K18" i="25"/>
  <c r="L18" i="25" s="1"/>
  <c r="M18" i="25" s="1"/>
  <c r="K28" i="25"/>
  <c r="L28" i="25" s="1"/>
  <c r="M28" i="25" s="1"/>
  <c r="G12" i="25"/>
  <c r="J12" i="25" s="1"/>
  <c r="K11" i="25"/>
  <c r="L11" i="25" s="1"/>
  <c r="M11" i="25" s="1"/>
  <c r="G19" i="25"/>
  <c r="J19" i="25" s="1"/>
  <c r="H24" i="25"/>
  <c r="J24" i="25" s="1"/>
  <c r="K13" i="25"/>
  <c r="L13" i="25" s="1"/>
  <c r="M13" i="25" s="1"/>
  <c r="G15" i="25"/>
  <c r="J15" i="25"/>
  <c r="K21" i="25"/>
  <c r="L21" i="25" s="1"/>
  <c r="M21" i="25" s="1"/>
  <c r="G20" i="25"/>
  <c r="J20" i="25" s="1"/>
  <c r="H34" i="25"/>
  <c r="J34" i="25" s="1"/>
  <c r="K17" i="25"/>
  <c r="L17" i="25" s="1"/>
  <c r="M17" i="25" s="1"/>
  <c r="F30" i="24"/>
  <c r="G30" i="24" s="1"/>
  <c r="G25" i="24"/>
  <c r="J25" i="24" s="1"/>
  <c r="K35" i="24"/>
  <c r="L35" i="24" s="1"/>
  <c r="M35" i="24" s="1"/>
  <c r="H24" i="24"/>
  <c r="J24" i="24" s="1"/>
  <c r="F19" i="24"/>
  <c r="G11" i="24"/>
  <c r="J11" i="24" s="1"/>
  <c r="G23" i="24"/>
  <c r="J23" i="24" s="1"/>
  <c r="F33" i="24"/>
  <c r="F34" i="24"/>
  <c r="F15" i="24"/>
  <c r="F22" i="24"/>
  <c r="G29" i="24"/>
  <c r="J29" i="24" s="1"/>
  <c r="F14" i="24"/>
  <c r="F18" i="24"/>
  <c r="F28" i="24"/>
  <c r="F32" i="24"/>
  <c r="F13" i="24"/>
  <c r="F17" i="24"/>
  <c r="F21" i="24"/>
  <c r="F31" i="24"/>
  <c r="F12" i="24"/>
  <c r="F16" i="24"/>
  <c r="F20" i="24"/>
  <c r="J23" i="19" l="1"/>
  <c r="K23" i="19" s="1"/>
  <c r="L23" i="19" s="1"/>
  <c r="K16" i="25"/>
  <c r="L16" i="25" s="1"/>
  <c r="M16" i="25" s="1"/>
  <c r="K24" i="25"/>
  <c r="L24" i="25" s="1"/>
  <c r="M24" i="25" s="1"/>
  <c r="K20" i="25"/>
  <c r="L20" i="25" s="1"/>
  <c r="M20" i="25" s="1"/>
  <c r="K19" i="25"/>
  <c r="L19" i="25" s="1"/>
  <c r="M19" i="25" s="1"/>
  <c r="K15" i="25"/>
  <c r="L15" i="25" s="1"/>
  <c r="M15" i="25" s="1"/>
  <c r="K35" i="25"/>
  <c r="L35" i="25" s="1"/>
  <c r="M35" i="25" s="1"/>
  <c r="K34" i="25"/>
  <c r="L34" i="25" s="1"/>
  <c r="M34" i="25" s="1"/>
  <c r="K12" i="25"/>
  <c r="L12" i="25" s="1"/>
  <c r="M12" i="25"/>
  <c r="K30" i="25"/>
  <c r="L30" i="25" s="1"/>
  <c r="M30" i="25" s="1"/>
  <c r="K25" i="24"/>
  <c r="L25" i="24" s="1"/>
  <c r="M25" i="24" s="1"/>
  <c r="J30" i="24"/>
  <c r="K24" i="24"/>
  <c r="L24" i="24" s="1"/>
  <c r="M24" i="24" s="1"/>
  <c r="K29" i="24"/>
  <c r="L29" i="24" s="1"/>
  <c r="M29" i="24" s="1"/>
  <c r="G31" i="24"/>
  <c r="J31" i="24" s="1"/>
  <c r="G21" i="24"/>
  <c r="J21" i="24" s="1"/>
  <c r="G19" i="24"/>
  <c r="J19" i="24" s="1"/>
  <c r="G22" i="24"/>
  <c r="J22" i="24" s="1"/>
  <c r="G13" i="24"/>
  <c r="J13" i="24" s="1"/>
  <c r="H34" i="24"/>
  <c r="J34" i="24"/>
  <c r="K11" i="24"/>
  <c r="L11" i="24" s="1"/>
  <c r="M11" i="24" s="1"/>
  <c r="G17" i="24"/>
  <c r="J17" i="24" s="1"/>
  <c r="G15" i="24"/>
  <c r="J15" i="24" s="1"/>
  <c r="G28" i="24"/>
  <c r="J28" i="24" s="1"/>
  <c r="K23" i="24"/>
  <c r="L23" i="24" s="1"/>
  <c r="M23" i="24" s="1"/>
  <c r="G16" i="24"/>
  <c r="J16" i="24" s="1"/>
  <c r="G18" i="24"/>
  <c r="J18" i="24" s="1"/>
  <c r="G32" i="24"/>
  <c r="J32" i="24" s="1"/>
  <c r="G20" i="24"/>
  <c r="J20" i="24" s="1"/>
  <c r="I33" i="24"/>
  <c r="J33" i="24" s="1"/>
  <c r="G12" i="24"/>
  <c r="J12" i="24" s="1"/>
  <c r="G14" i="24"/>
  <c r="J14" i="24" s="1"/>
  <c r="M36" i="25" l="1"/>
  <c r="M26" i="25"/>
  <c r="N37" i="25" s="1"/>
  <c r="K30" i="24"/>
  <c r="L30" i="24" s="1"/>
  <c r="M30" i="24" s="1"/>
  <c r="K28" i="24"/>
  <c r="L28" i="24" s="1"/>
  <c r="M28" i="24" s="1"/>
  <c r="K13" i="24"/>
  <c r="L13" i="24" s="1"/>
  <c r="M13" i="24" s="1"/>
  <c r="K20" i="24"/>
  <c r="L20" i="24" s="1"/>
  <c r="M20" i="24" s="1"/>
  <c r="K22" i="24"/>
  <c r="L22" i="24" s="1"/>
  <c r="M22" i="24" s="1"/>
  <c r="K15" i="24"/>
  <c r="L15" i="24" s="1"/>
  <c r="M15" i="24" s="1"/>
  <c r="K17" i="24"/>
  <c r="L17" i="24" s="1"/>
  <c r="M17" i="24" s="1"/>
  <c r="K18" i="24"/>
  <c r="L18" i="24" s="1"/>
  <c r="M18" i="24" s="1"/>
  <c r="K21" i="24"/>
  <c r="L21" i="24" s="1"/>
  <c r="M21" i="24" s="1"/>
  <c r="K33" i="24"/>
  <c r="L33" i="24" s="1"/>
  <c r="M33" i="24" s="1"/>
  <c r="K14" i="24"/>
  <c r="L14" i="24" s="1"/>
  <c r="M14" i="24" s="1"/>
  <c r="K19" i="24"/>
  <c r="L19" i="24" s="1"/>
  <c r="M19" i="24" s="1"/>
  <c r="K12" i="24"/>
  <c r="L12" i="24" s="1"/>
  <c r="M12" i="24" s="1"/>
  <c r="K32" i="24"/>
  <c r="L32" i="24" s="1"/>
  <c r="M32" i="24" s="1"/>
  <c r="K31" i="24"/>
  <c r="L31" i="24" s="1"/>
  <c r="M31" i="24" s="1"/>
  <c r="K16" i="24"/>
  <c r="L16" i="24" s="1"/>
  <c r="M16" i="24" s="1"/>
  <c r="K34" i="24"/>
  <c r="L34" i="24" s="1"/>
  <c r="M34" i="24" s="1"/>
  <c r="M26" i="24" l="1"/>
  <c r="M36" i="24"/>
  <c r="N41" i="21"/>
  <c r="F33" i="21"/>
  <c r="F29" i="21"/>
  <c r="G29" i="21" s="1"/>
  <c r="H29" i="21" s="1"/>
  <c r="K29" i="21" s="1"/>
  <c r="F27" i="21"/>
  <c r="G27" i="21" s="1"/>
  <c r="H27" i="21" s="1"/>
  <c r="F15" i="21"/>
  <c r="G15" i="21" s="1"/>
  <c r="H15" i="21" s="1"/>
  <c r="G37" i="19"/>
  <c r="F39" i="21" l="1"/>
  <c r="G39" i="21" s="1"/>
  <c r="H39" i="21" s="1"/>
  <c r="K39" i="21" s="1"/>
  <c r="N37" i="24"/>
  <c r="M37" i="24"/>
  <c r="M39" i="24" s="1"/>
  <c r="G33" i="21"/>
  <c r="H33" i="21" s="1"/>
  <c r="K33" i="21" s="1"/>
  <c r="L29" i="21"/>
  <c r="M29" i="21" s="1"/>
  <c r="N29" i="21" s="1"/>
  <c r="F25" i="21"/>
  <c r="G25" i="21" s="1"/>
  <c r="H25" i="21" s="1"/>
  <c r="F35" i="21"/>
  <c r="F38" i="21"/>
  <c r="G38" i="21" s="1"/>
  <c r="I38" i="21" s="1"/>
  <c r="F16" i="21"/>
  <c r="G16" i="21" s="1"/>
  <c r="H16" i="21" s="1"/>
  <c r="F20" i="21"/>
  <c r="G20" i="21" s="1"/>
  <c r="H20" i="21" s="1"/>
  <c r="F34" i="21"/>
  <c r="F24" i="21"/>
  <c r="F28" i="21"/>
  <c r="L39" i="21"/>
  <c r="M39" i="21" s="1"/>
  <c r="N39" i="21" s="1"/>
  <c r="F19" i="21"/>
  <c r="G19" i="21" s="1"/>
  <c r="H19" i="21" s="1"/>
  <c r="F23" i="21"/>
  <c r="G23" i="21" s="1"/>
  <c r="H23" i="21" s="1"/>
  <c r="K15" i="21"/>
  <c r="K27" i="21"/>
  <c r="F37" i="21"/>
  <c r="G37" i="21" s="1"/>
  <c r="J37" i="21" s="1"/>
  <c r="F18" i="21"/>
  <c r="G18" i="21" s="1"/>
  <c r="H18" i="21" s="1"/>
  <c r="F22" i="21"/>
  <c r="G22" i="21" s="1"/>
  <c r="H22" i="21" s="1"/>
  <c r="F26" i="21"/>
  <c r="G26" i="21" s="1"/>
  <c r="H26" i="21" s="1"/>
  <c r="F32" i="21"/>
  <c r="G32" i="21" s="1"/>
  <c r="H32" i="21" s="1"/>
  <c r="F36" i="21"/>
  <c r="G36" i="21" s="1"/>
  <c r="H36" i="21" s="1"/>
  <c r="F17" i="21"/>
  <c r="G17" i="21" s="1"/>
  <c r="H17" i="21" s="1"/>
  <c r="F21" i="21"/>
  <c r="G21" i="21" s="1"/>
  <c r="H21" i="21" s="1"/>
  <c r="G29" i="19"/>
  <c r="I29" i="19" s="1"/>
  <c r="F34" i="19"/>
  <c r="I34" i="19" s="1"/>
  <c r="F19" i="19"/>
  <c r="I19" i="19" s="1"/>
  <c r="I37" i="19"/>
  <c r="F30" i="19"/>
  <c r="I30" i="19" s="1"/>
  <c r="J19" i="19" l="1"/>
  <c r="K19" i="19" s="1"/>
  <c r="L19" i="19" s="1"/>
  <c r="K25" i="21"/>
  <c r="L33" i="21"/>
  <c r="M33" i="21" s="1"/>
  <c r="N33" i="21" s="1"/>
  <c r="G34" i="21"/>
  <c r="H34" i="21" s="1"/>
  <c r="K34" i="21" s="1"/>
  <c r="G24" i="21"/>
  <c r="H24" i="21" s="1"/>
  <c r="K24" i="21" s="1"/>
  <c r="G35" i="21"/>
  <c r="H35" i="21" s="1"/>
  <c r="K35" i="21" s="1"/>
  <c r="G28" i="21"/>
  <c r="I28" i="21" s="1"/>
  <c r="K28" i="21" s="1"/>
  <c r="K20" i="21"/>
  <c r="K38" i="21"/>
  <c r="K16" i="21"/>
  <c r="L27" i="21"/>
  <c r="M27" i="21" s="1"/>
  <c r="N27" i="21" s="1"/>
  <c r="K17" i="21"/>
  <c r="K36" i="21"/>
  <c r="K32" i="21"/>
  <c r="K37" i="21"/>
  <c r="K26" i="21"/>
  <c r="K22" i="21"/>
  <c r="K18" i="21"/>
  <c r="L15" i="21"/>
  <c r="M15" i="21" s="1"/>
  <c r="N15" i="21" s="1"/>
  <c r="K23" i="21"/>
  <c r="K21" i="21"/>
  <c r="K19" i="21"/>
  <c r="J30" i="19"/>
  <c r="K30" i="19" s="1"/>
  <c r="L30" i="19" s="1"/>
  <c r="J29" i="19"/>
  <c r="K29" i="19" s="1"/>
  <c r="L29" i="19" s="1"/>
  <c r="J34" i="19"/>
  <c r="K34" i="19" s="1"/>
  <c r="L34" i="19" s="1"/>
  <c r="F21" i="19"/>
  <c r="I21" i="19" s="1"/>
  <c r="F35" i="19"/>
  <c r="I35" i="19" s="1"/>
  <c r="F26" i="19"/>
  <c r="I26" i="19" s="1"/>
  <c r="F22" i="19"/>
  <c r="I22" i="19" s="1"/>
  <c r="F33" i="19"/>
  <c r="I33" i="19" s="1"/>
  <c r="J37" i="19"/>
  <c r="K37" i="19" s="1"/>
  <c r="L37" i="19" s="1"/>
  <c r="F28" i="19"/>
  <c r="I28" i="19" s="1"/>
  <c r="F25" i="19"/>
  <c r="I25" i="19" s="1"/>
  <c r="F36" i="19"/>
  <c r="I36" i="19" s="1"/>
  <c r="F27" i="19"/>
  <c r="I27" i="19" s="1"/>
  <c r="F20" i="19"/>
  <c r="I20" i="19" s="1"/>
  <c r="F24" i="19"/>
  <c r="I24" i="19" s="1"/>
  <c r="M41" i="13"/>
  <c r="F33" i="13"/>
  <c r="G33" i="13" s="1"/>
  <c r="J33" i="13" s="1"/>
  <c r="F29" i="13"/>
  <c r="G29" i="13" s="1"/>
  <c r="F27" i="13"/>
  <c r="G27" i="13" s="1"/>
  <c r="F15" i="13"/>
  <c r="F26" i="13" s="1"/>
  <c r="L25" i="21" l="1"/>
  <c r="M25" i="21" s="1"/>
  <c r="N25" i="21" s="1"/>
  <c r="L20" i="21"/>
  <c r="M20" i="21" s="1"/>
  <c r="N20" i="21"/>
  <c r="L35" i="21"/>
  <c r="M35" i="21" s="1"/>
  <c r="N35" i="21" s="1"/>
  <c r="L24" i="21"/>
  <c r="M24" i="21" s="1"/>
  <c r="N24" i="21" s="1"/>
  <c r="L28" i="21"/>
  <c r="M28" i="21" s="1"/>
  <c r="N28" i="21" s="1"/>
  <c r="L34" i="21"/>
  <c r="M34" i="21" s="1"/>
  <c r="N34" i="21" s="1"/>
  <c r="L38" i="21"/>
  <c r="M38" i="21" s="1"/>
  <c r="N38" i="21" s="1"/>
  <c r="L16" i="21"/>
  <c r="M16" i="21" s="1"/>
  <c r="N16" i="21" s="1"/>
  <c r="L17" i="21"/>
  <c r="M17" i="21" s="1"/>
  <c r="N17" i="21" s="1"/>
  <c r="L19" i="21"/>
  <c r="M19" i="21" s="1"/>
  <c r="N19" i="21" s="1"/>
  <c r="L21" i="21"/>
  <c r="M21" i="21" s="1"/>
  <c r="N21" i="21" s="1"/>
  <c r="L32" i="21"/>
  <c r="M32" i="21" s="1"/>
  <c r="N32" i="21" s="1"/>
  <c r="L26" i="21"/>
  <c r="M26" i="21" s="1"/>
  <c r="N26" i="21" s="1"/>
  <c r="L22" i="21"/>
  <c r="M22" i="21" s="1"/>
  <c r="N22" i="21" s="1"/>
  <c r="L23" i="21"/>
  <c r="M23" i="21" s="1"/>
  <c r="N23" i="21" s="1"/>
  <c r="L37" i="21"/>
  <c r="M37" i="21" s="1"/>
  <c r="N37" i="21" s="1"/>
  <c r="L18" i="21"/>
  <c r="M18" i="21" s="1"/>
  <c r="N18" i="21" s="1"/>
  <c r="L36" i="21"/>
  <c r="M36" i="21" s="1"/>
  <c r="N36" i="21" s="1"/>
  <c r="J21" i="19"/>
  <c r="K21" i="19" s="1"/>
  <c r="L21" i="19" s="1"/>
  <c r="J36" i="19"/>
  <c r="K36" i="19" s="1"/>
  <c r="L36" i="19" s="1"/>
  <c r="J25" i="19"/>
  <c r="K25" i="19" s="1"/>
  <c r="L25" i="19" s="1"/>
  <c r="J22" i="19"/>
  <c r="K22" i="19" s="1"/>
  <c r="L22" i="19" s="1"/>
  <c r="J28" i="19"/>
  <c r="K28" i="19" s="1"/>
  <c r="L28" i="19" s="1"/>
  <c r="J26" i="19"/>
  <c r="K26" i="19" s="1"/>
  <c r="L26" i="19" s="1"/>
  <c r="J33" i="19"/>
  <c r="K33" i="19" s="1"/>
  <c r="L33" i="19" s="1"/>
  <c r="J24" i="19"/>
  <c r="K24" i="19" s="1"/>
  <c r="L24" i="19" s="1"/>
  <c r="J35" i="19"/>
  <c r="K35" i="19" s="1"/>
  <c r="L35" i="19" s="1"/>
  <c r="J20" i="19"/>
  <c r="K20" i="19" s="1"/>
  <c r="L20" i="19" s="1"/>
  <c r="J27" i="19"/>
  <c r="K27" i="19" s="1"/>
  <c r="L27" i="19" s="1"/>
  <c r="K33" i="13"/>
  <c r="L33" i="13" s="1"/>
  <c r="M33" i="13" s="1"/>
  <c r="G26" i="13"/>
  <c r="J26" i="13" s="1"/>
  <c r="F21" i="13"/>
  <c r="F22" i="13"/>
  <c r="F28" i="13"/>
  <c r="F36" i="13"/>
  <c r="F18" i="13"/>
  <c r="F24" i="13"/>
  <c r="G15" i="13"/>
  <c r="J15" i="13" s="1"/>
  <c r="J27" i="13"/>
  <c r="F37" i="13"/>
  <c r="I37" i="13" s="1"/>
  <c r="F34" i="13"/>
  <c r="F16" i="13"/>
  <c r="F35" i="13"/>
  <c r="F17" i="13"/>
  <c r="F23" i="13"/>
  <c r="F19" i="13"/>
  <c r="F25" i="13"/>
  <c r="F32" i="13"/>
  <c r="F38" i="13"/>
  <c r="F20" i="13"/>
  <c r="J29" i="13"/>
  <c r="F39" i="13"/>
  <c r="G39" i="13" s="1"/>
  <c r="L38" i="19" l="1"/>
  <c r="N40" i="21"/>
  <c r="N30" i="21"/>
  <c r="L31" i="19"/>
  <c r="K26" i="13"/>
  <c r="L26" i="13" s="1"/>
  <c r="M26" i="13" s="1"/>
  <c r="G20" i="13"/>
  <c r="J20" i="13" s="1"/>
  <c r="K15" i="13"/>
  <c r="L15" i="13" s="1"/>
  <c r="M15" i="13" s="1"/>
  <c r="G35" i="13"/>
  <c r="J35" i="13" s="1"/>
  <c r="G21" i="13"/>
  <c r="J21" i="13" s="1"/>
  <c r="G32" i="13"/>
  <c r="J32" i="13" s="1"/>
  <c r="G16" i="13"/>
  <c r="J16" i="13" s="1"/>
  <c r="G24" i="13"/>
  <c r="J24" i="13" s="1"/>
  <c r="G25" i="13"/>
  <c r="J25" i="13" s="1"/>
  <c r="G34" i="13"/>
  <c r="J34" i="13" s="1"/>
  <c r="G18" i="13"/>
  <c r="J18" i="13" s="1"/>
  <c r="G19" i="13"/>
  <c r="J19" i="13" s="1"/>
  <c r="J37" i="13"/>
  <c r="G36" i="13"/>
  <c r="J36" i="13" s="1"/>
  <c r="G17" i="13"/>
  <c r="J17" i="13" s="1"/>
  <c r="G22" i="13"/>
  <c r="J22" i="13" s="1"/>
  <c r="K29" i="13"/>
  <c r="L29" i="13" s="1"/>
  <c r="M29" i="13" s="1"/>
  <c r="G23" i="13"/>
  <c r="J23" i="13" s="1"/>
  <c r="K27" i="13"/>
  <c r="L27" i="13" s="1"/>
  <c r="M27" i="13" s="1"/>
  <c r="H28" i="13"/>
  <c r="J28" i="13" s="1"/>
  <c r="J39" i="13"/>
  <c r="H38" i="13"/>
  <c r="J38" i="13" s="1"/>
  <c r="L39" i="19" l="1"/>
  <c r="N42" i="21"/>
  <c r="K36" i="13"/>
  <c r="L36" i="13" s="1"/>
  <c r="M36" i="13" s="1"/>
  <c r="K21" i="13"/>
  <c r="L21" i="13" s="1"/>
  <c r="M21" i="13" s="1"/>
  <c r="K35" i="13"/>
  <c r="L35" i="13" s="1"/>
  <c r="M35" i="13" s="1"/>
  <c r="K23" i="13"/>
  <c r="L23" i="13" s="1"/>
  <c r="M23" i="13" s="1"/>
  <c r="K24" i="13"/>
  <c r="L24" i="13" s="1"/>
  <c r="M24" i="13" s="1"/>
  <c r="K38" i="13"/>
  <c r="L38" i="13" s="1"/>
  <c r="M38" i="13" s="1"/>
  <c r="K16" i="13"/>
  <c r="L16" i="13" s="1"/>
  <c r="M16" i="13"/>
  <c r="K22" i="13"/>
  <c r="L22" i="13" s="1"/>
  <c r="M22" i="13" s="1"/>
  <c r="K18" i="13"/>
  <c r="L18" i="13" s="1"/>
  <c r="M18" i="13" s="1"/>
  <c r="K20" i="13"/>
  <c r="L20" i="13" s="1"/>
  <c r="M20" i="13" s="1"/>
  <c r="K17" i="13"/>
  <c r="L17" i="13" s="1"/>
  <c r="M17" i="13" s="1"/>
  <c r="K34" i="13"/>
  <c r="L34" i="13" s="1"/>
  <c r="M34" i="13" s="1"/>
  <c r="K19" i="13"/>
  <c r="L19" i="13" s="1"/>
  <c r="M19" i="13" s="1"/>
  <c r="K25" i="13"/>
  <c r="L25" i="13" s="1"/>
  <c r="M25" i="13" s="1"/>
  <c r="K32" i="13"/>
  <c r="L32" i="13" s="1"/>
  <c r="M32" i="13" s="1"/>
  <c r="K39" i="13"/>
  <c r="L39" i="13" s="1"/>
  <c r="M39" i="13" s="1"/>
  <c r="K28" i="13"/>
  <c r="L28" i="13" s="1"/>
  <c r="M28" i="13" s="1"/>
  <c r="K37" i="13"/>
  <c r="L37" i="13" s="1"/>
  <c r="M37" i="13" s="1"/>
  <c r="O37" i="25" l="1"/>
  <c r="O37" i="24"/>
  <c r="M40" i="13"/>
  <c r="M30" i="13"/>
  <c r="M42" i="13" s="1"/>
  <c r="M44" i="13" s="1"/>
  <c r="M43" i="13"/>
  <c r="M45" i="13" l="1"/>
</calcChain>
</file>

<file path=xl/sharedStrings.xml><?xml version="1.0" encoding="utf-8"?>
<sst xmlns="http://schemas.openxmlformats.org/spreadsheetml/2006/main" count="638" uniqueCount="82">
  <si>
    <t>PUNTO</t>
  </si>
  <si>
    <t>H. DIA</t>
  </si>
  <si>
    <t>AYS 8% SIN ARMA</t>
  </si>
  <si>
    <t>SEDE LA FRANCIA</t>
  </si>
  <si>
    <t>SEDE LIMONAR</t>
  </si>
  <si>
    <t>TARIFA BASICA VALOR POR 30 DIAS</t>
  </si>
  <si>
    <t xml:space="preserve">AYS 10% CON ARMA </t>
  </si>
  <si>
    <t>IVA 19% SOBRE AIU</t>
  </si>
  <si>
    <t>DESCRIPCION</t>
  </si>
  <si>
    <t>PRECIO</t>
  </si>
  <si>
    <t>PUNTOS DE VIGILANCIA</t>
  </si>
  <si>
    <t>ANEXO N°. 5 FORMATO DE OFERTA ECONOMICA</t>
  </si>
  <si>
    <t>Acceso Vehicular</t>
  </si>
  <si>
    <t xml:space="preserve">Acceso Peatonal </t>
  </si>
  <si>
    <t>Fichero entrada principal</t>
  </si>
  <si>
    <t>Entrada de Consulta externa al edificio de Hospitalización</t>
  </si>
  <si>
    <t>Rotante pisos 1, 2 y 3</t>
  </si>
  <si>
    <t>Rotante pisos 4, 5 y 6</t>
  </si>
  <si>
    <t>Sala de Partos</t>
  </si>
  <si>
    <t>Recorredor Externo - Parqueaderos - Morgue</t>
  </si>
  <si>
    <t>Control Urgencias Trauma</t>
  </si>
  <si>
    <t>Control Urgencias Consulta Externa</t>
  </si>
  <si>
    <t>Sotano</t>
  </si>
  <si>
    <t>Salud Mental</t>
  </si>
  <si>
    <t>Operador de Medios Tecnologicos</t>
  </si>
  <si>
    <t>Supervisor - Armado</t>
  </si>
  <si>
    <t>24H</t>
  </si>
  <si>
    <t>12D</t>
  </si>
  <si>
    <t>ANTES DE IVA</t>
  </si>
  <si>
    <t>AYS 11% CON  CANINO</t>
  </si>
  <si>
    <t>COMPONENTE TECNOLOGICO</t>
  </si>
  <si>
    <t>Total Sede La Francia</t>
  </si>
  <si>
    <t>Total Sede El Limonar</t>
  </si>
  <si>
    <t>TOTAL POR PUESTO MESUAL</t>
  </si>
  <si>
    <t>TOTAL HFLLA MENSUAL</t>
  </si>
  <si>
    <t>PROPUESTA COSTO TOTAL DEL CONTRATO PARA EL TIEMPO A CONTRATAR</t>
  </si>
  <si>
    <t xml:space="preserve">Señores </t>
  </si>
  <si>
    <t>HOSPITAL FEDERICO LLERAS ACOSTA DE IBAGUE TOLIMA ESE</t>
  </si>
  <si>
    <t xml:space="preserve">Atn. Dr. Luis Eduardo Gonzalez </t>
  </si>
  <si>
    <t xml:space="preserve">Gerente </t>
  </si>
  <si>
    <t>ARMA</t>
  </si>
  <si>
    <t>CANINO</t>
  </si>
  <si>
    <t>NO</t>
  </si>
  <si>
    <t>SI</t>
  </si>
  <si>
    <t>AIU 10%</t>
  </si>
  <si>
    <t>Coordinador La Francia</t>
  </si>
  <si>
    <t>Acceso Peatonal Principal</t>
  </si>
  <si>
    <t>Acceso Vehicular Principal</t>
  </si>
  <si>
    <t>Acceso Peatonal y Vehicular Urgencias / Mantenimiento</t>
  </si>
  <si>
    <t>Rotante Pisos 1, 2 y 3</t>
  </si>
  <si>
    <t>Rotante Pisos 4, 5 y 6</t>
  </si>
  <si>
    <t>Guia Canino</t>
  </si>
  <si>
    <t>Coordinador El Limonar</t>
  </si>
  <si>
    <t>TOTAL HFLLA 5 MESES</t>
  </si>
  <si>
    <t>TOTAL HFLLA 8 DIAS CONTADOS</t>
  </si>
  <si>
    <t>TOTAL SERVICIO VIGILANCIA + SERVICIOS AGREGADOS OFRECIDOS PARA 5 MESES Y 8 DIAS CONTADOS A PARTIR DEL 23 DE JUNIO AL 30 DE NOVIEMBRE DE 2022</t>
  </si>
  <si>
    <r>
      <t xml:space="preserve">ANEXO 5 FORMATO DE OFERTA ECONOMICA - CONVOCATORIA PUBLICA DE MENOR CUANTIA </t>
    </r>
    <r>
      <rPr>
        <b/>
        <sz val="10"/>
        <rFont val="Arial"/>
        <family val="2"/>
      </rPr>
      <t>001</t>
    </r>
    <r>
      <rPr>
        <b/>
        <sz val="10"/>
        <color theme="1"/>
        <rFont val="Arial"/>
        <family val="2"/>
      </rPr>
      <t xml:space="preserve"> DE 2022</t>
    </r>
  </si>
  <si>
    <r>
      <t xml:space="preserve">Por medio de la presente nos permitimos remitir oferta economica  irrevocable dentro del proceso de convocatoria publica de  menor  cuantia </t>
    </r>
    <r>
      <rPr>
        <sz val="10"/>
        <rFont val="Arial"/>
        <family val="2"/>
      </rPr>
      <t>N° 001</t>
    </r>
    <r>
      <rPr>
        <sz val="10"/>
        <color theme="1"/>
        <rFont val="Arial"/>
        <family val="2"/>
      </rPr>
      <t xml:space="preserve"> de 2022  cuyo objeto es: </t>
    </r>
    <r>
      <rPr>
        <b/>
        <sz val="10"/>
        <color theme="1"/>
        <rFont val="Arial"/>
        <family val="2"/>
      </rPr>
      <t>PRESTAR EL SERVICIO DE VIGILANCIA, SEGURIDAD PRIVADA Y PROTECCION A SUS INSTALACIONES, BIENES, FUNCIONARIOS Y PERSONAS EN GENERAL DENTRO DE LAS INSTALACIONES DEL HOSPITAL FEDERICO LLERAS ACOSTA DE IBAGUÉ E.S.E.  EN SUS SEDES.</t>
    </r>
  </si>
  <si>
    <t>JOHN HENRY VELASQUEZ PEÑUELA</t>
  </si>
  <si>
    <t>REPRESENTANTE LEGAL</t>
  </si>
  <si>
    <t>UNION TEMPORAL NESIP</t>
  </si>
  <si>
    <t>TOTAL EN LETRAS: MIL CIENTO TREINTA Y DOS MILLONES, TRESCIENTOS SESENTA Y TRES MIL, SETECIENTOS SETENTA Y TRES PESOS MONEDA CORRIENTE COLOMBIANA</t>
  </si>
  <si>
    <t>TOTAL 14 DIAS ENERO 2023</t>
  </si>
  <si>
    <t>VALOR TOTAL VIGENCIA 2022 + 14 DÍAS ENERO 2023</t>
  </si>
  <si>
    <t>VALOR 14 DIAS ENERO 2023</t>
  </si>
  <si>
    <t>VALOR MES DICIEMBRE 2022</t>
  </si>
  <si>
    <t>TOTAL 13 DIAS ENERO 2023</t>
  </si>
  <si>
    <t xml:space="preserve">Coordinador </t>
  </si>
  <si>
    <t>12HD</t>
  </si>
  <si>
    <t xml:space="preserve">VALOR TOTAL MES </t>
  </si>
  <si>
    <t>VALOR TOTAL MENSUAL SEDE LA FRANCIA + SEDE LIMONAR</t>
  </si>
  <si>
    <t>Oncologia</t>
  </si>
  <si>
    <t>Control Urgencias Vitales</t>
  </si>
  <si>
    <t>ESQUEMA DE SEGURIDAD A JULIO 14 DE 2024</t>
  </si>
  <si>
    <t>Atn. Dra. Martha Johanna Palacios Uribe</t>
  </si>
  <si>
    <t>HOSPITAL FEDERICO LLERAS ACOSTA DE IBAGUE E.S.E</t>
  </si>
  <si>
    <t>Acceso Peatonal y Vehicular/ Mantenimiento</t>
  </si>
  <si>
    <t>Acceso Peatonal y Vehicular / Mantenimiento</t>
  </si>
  <si>
    <t>ESQUEMA DE SEGURIDAD A ENE 10 DE 2025</t>
  </si>
  <si>
    <r>
      <t xml:space="preserve">ANEXO 5 FORMATO DE OFERTA ECONOMICA - CONVOCATORIA PUBLICA DE MENOR CUANTIA </t>
    </r>
    <r>
      <rPr>
        <b/>
        <sz val="10"/>
        <color rgb="FFFF0000"/>
        <rFont val="Arial"/>
        <family val="2"/>
      </rPr>
      <t>002</t>
    </r>
    <r>
      <rPr>
        <b/>
        <sz val="10"/>
        <color theme="1"/>
        <rFont val="Arial"/>
        <family val="2"/>
      </rPr>
      <t xml:space="preserve"> DE 2024</t>
    </r>
  </si>
  <si>
    <r>
      <t xml:space="preserve">Por medio de la presente nos permitimos remitir oferta economica  irrevocable dentro del proceso de convocatoria publica de  menor cuantia N° </t>
    </r>
    <r>
      <rPr>
        <sz val="10"/>
        <color rgb="FFFF0000"/>
        <rFont val="Arial"/>
        <family val="2"/>
      </rPr>
      <t>002</t>
    </r>
    <r>
      <rPr>
        <sz val="10"/>
        <color theme="1"/>
        <rFont val="Arial"/>
        <family val="2"/>
      </rPr>
      <t xml:space="preserve"> de 2024  cuyo objeto es: </t>
    </r>
    <r>
      <rPr>
        <b/>
        <sz val="10"/>
        <color theme="1"/>
        <rFont val="Arial"/>
        <family val="2"/>
      </rPr>
      <t>PRESTAR EL SERVICIO DE VIGILANCIA, SEGURIDAD PRIVADA Y PROTECCION A SUS INSTALACIONES, BIENES, FUNCIONARIOS Y PERSONAS EN GENERAL DENTRO DE LAS INSTALACIONES DEL HOSPITAL FEDERICO LLERAS ACOSTA DE IBAGUÉ E.S.E.  EN SUS SEDES.</t>
    </r>
  </si>
  <si>
    <t>Rondero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</si>
</sst>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 [$$-240A]\ * #,##0_ ;_ [$$-240A]\ * \-#,##0_ ;_ [$$-240A]\ * &quot;-&quot;??_ ;_ @_ "/>
    <numFmt numFmtId="166" formatCode="_ [$$-240A]\ * #,##0.00_ ;_ [$$-240A]\ * \-#,##0.00_ ;_ [$$-240A]\ * &quot;-&quot;??_ ;_ @_ "/>
    <numFmt numFmtId="167" formatCode="&quot;$&quot;\ #,##0"/>
    <numFmt numFmtId="168" formatCode="_-&quot;$&quot;\ * #,##0_-;\-&quot;$&quot;\ * #,##0_-;_-&quot;$&quot;\ 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91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0" fontId="1" fillId="0" borderId="0" xfId="0" applyFont="1"/>
    <xf numFmtId="164" fontId="0" fillId="0" borderId="0" xfId="2" applyFont="1"/>
    <xf numFmtId="164" fontId="0" fillId="0" borderId="0" xfId="2" applyFont="1" applyBorder="1"/>
    <xf numFmtId="0" fontId="3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4" fillId="0" borderId="1" xfId="1" applyNumberFormat="1" applyFont="1" applyBorder="1" applyAlignment="1">
      <alignment horizontal="center" vertical="center" wrapText="1"/>
    </xf>
    <xf numFmtId="164" fontId="9" fillId="0" borderId="1" xfId="2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167" fontId="10" fillId="0" borderId="1" xfId="2" applyNumberFormat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0" fillId="0" borderId="5" xfId="0" applyBorder="1"/>
    <xf numFmtId="44" fontId="0" fillId="0" borderId="0" xfId="3" applyFont="1"/>
    <xf numFmtId="168" fontId="0" fillId="0" borderId="0" xfId="3" applyNumberFormat="1" applyFont="1"/>
    <xf numFmtId="9" fontId="0" fillId="0" borderId="0" xfId="4" applyFont="1"/>
    <xf numFmtId="164" fontId="0" fillId="0" borderId="0" xfId="2" applyFont="1" applyAlignment="1">
      <alignment vertical="center"/>
    </xf>
    <xf numFmtId="165" fontId="9" fillId="3" borderId="1" xfId="1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0" fontId="0" fillId="0" borderId="0" xfId="4" applyNumberFormat="1" applyFont="1"/>
    <xf numFmtId="167" fontId="14" fillId="0" borderId="1" xfId="2" applyNumberFormat="1" applyFont="1" applyFill="1" applyBorder="1" applyAlignment="1">
      <alignment horizontal="center" vertic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65" fontId="16" fillId="0" borderId="1" xfId="1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164" fontId="4" fillId="0" borderId="1" xfId="2" applyFont="1" applyFill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8" fontId="1" fillId="0" borderId="0" xfId="3" applyNumberFormat="1" applyFont="1"/>
    <xf numFmtId="164" fontId="0" fillId="0" borderId="0" xfId="0" applyNumberFormat="1"/>
    <xf numFmtId="164" fontId="18" fillId="0" borderId="0" xfId="2" applyFont="1" applyAlignment="1">
      <alignment vertical="center"/>
    </xf>
    <xf numFmtId="168" fontId="18" fillId="0" borderId="0" xfId="3" applyNumberFormat="1" applyFont="1" applyAlignment="1">
      <alignment vertical="center"/>
    </xf>
    <xf numFmtId="10" fontId="18" fillId="0" borderId="0" xfId="4" applyNumberFormat="1" applyFont="1" applyAlignment="1">
      <alignment vertical="center"/>
    </xf>
    <xf numFmtId="44" fontId="18" fillId="0" borderId="0" xfId="3" applyFont="1" applyAlignment="1">
      <alignment vertical="center"/>
    </xf>
    <xf numFmtId="164" fontId="19" fillId="0" borderId="0" xfId="2" applyFont="1" applyAlignment="1">
      <alignment vertical="center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49" fontId="0" fillId="0" borderId="0" xfId="2" applyNumberFormat="1" applyFont="1"/>
    <xf numFmtId="165" fontId="0" fillId="0" borderId="0" xfId="0" applyNumberFormat="1"/>
    <xf numFmtId="49" fontId="0" fillId="0" borderId="0" xfId="0" applyNumberFormat="1"/>
    <xf numFmtId="164" fontId="0" fillId="0" borderId="0" xfId="2" applyNumberFormat="1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0" fillId="0" borderId="0" xfId="2" applyFont="1" applyFill="1" applyBorder="1"/>
    <xf numFmtId="164" fontId="0" fillId="0" borderId="0" xfId="2" applyNumberFormat="1" applyFont="1" applyFill="1" applyBorder="1"/>
    <xf numFmtId="165" fontId="0" fillId="0" borderId="0" xfId="0" applyNumberFormat="1" applyFill="1" applyBorder="1"/>
    <xf numFmtId="164" fontId="0" fillId="0" borderId="0" xfId="0" applyNumberFormat="1" applyFill="1" applyBorder="1"/>
    <xf numFmtId="43" fontId="0" fillId="0" borderId="0" xfId="0" applyNumberFormat="1"/>
    <xf numFmtId="43" fontId="0" fillId="0" borderId="0" xfId="5" applyFont="1"/>
    <xf numFmtId="0" fontId="0" fillId="0" borderId="0" xfId="0"/>
    <xf numFmtId="0" fontId="1" fillId="0" borderId="0" xfId="0" applyFont="1" applyAlignment="1"/>
    <xf numFmtId="0" fontId="12" fillId="0" borderId="0" xfId="0" applyFont="1" applyAlignment="1">
      <alignment vertical="top" wrapText="1"/>
    </xf>
    <xf numFmtId="164" fontId="0" fillId="0" borderId="0" xfId="2" applyFont="1" applyFill="1"/>
    <xf numFmtId="164" fontId="0" fillId="0" borderId="0" xfId="2" applyFont="1" applyFill="1" applyAlignment="1">
      <alignment horizontal="center"/>
    </xf>
    <xf numFmtId="165" fontId="9" fillId="0" borderId="1" xfId="1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0" fontId="11" fillId="0" borderId="0" xfId="0" applyFont="1" applyAlignment="1"/>
    <xf numFmtId="0" fontId="1" fillId="0" borderId="6" xfId="0" applyFont="1" applyBorder="1" applyAlignment="1"/>
    <xf numFmtId="0" fontId="0" fillId="0" borderId="0" xfId="0" applyAlignment="1"/>
    <xf numFmtId="0" fontId="3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10" fillId="0" borderId="2" xfId="1" applyFont="1" applyBorder="1" applyAlignment="1">
      <alignment horizontal="right" vertical="center" wrapText="1"/>
    </xf>
    <xf numFmtId="0" fontId="10" fillId="0" borderId="3" xfId="1" applyFont="1" applyBorder="1" applyAlignment="1">
      <alignment horizontal="right" vertical="center" wrapText="1"/>
    </xf>
    <xf numFmtId="0" fontId="10" fillId="0" borderId="4" xfId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3" fillId="5" borderId="1" xfId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7">
    <cellStyle name="Millares" xfId="5" builtinId="3"/>
    <cellStyle name="Moneda" xfId="3" builtinId="4"/>
    <cellStyle name="Moneda [0]" xfId="2" builtinId="7"/>
    <cellStyle name="Moneda [0] 2" xfId="6" xr:uid="{00000000-0005-0000-0000-000003000000}"/>
    <cellStyle name="Normal" xfId="0" builtinId="0"/>
    <cellStyle name="Normal 2" xfId="1" xr:uid="{00000000-0005-0000-0000-000005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833437</xdr:colOff>
      <xdr:row>40</xdr:row>
      <xdr:rowOff>150813</xdr:rowOff>
    </xdr:from>
    <xdr:to>
      <xdr:col>1</xdr:col>
      <xdr:colOff>2751772</xdr:colOff>
      <xdr:row>44</xdr:row>
      <xdr:rowOff>133033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462" y="8799513"/>
          <a:ext cx="1918335" cy="7442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833437</xdr:colOff>
      <xdr:row>40</xdr:row>
      <xdr:rowOff>150813</xdr:rowOff>
    </xdr:from>
    <xdr:to>
      <xdr:col>1</xdr:col>
      <xdr:colOff>2751772</xdr:colOff>
      <xdr:row>44</xdr:row>
      <xdr:rowOff>133033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462" y="8799513"/>
          <a:ext cx="1918335" cy="74422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833437</xdr:colOff>
      <xdr:row>43</xdr:row>
      <xdr:rowOff>150813</xdr:rowOff>
    </xdr:from>
    <xdr:to>
      <xdr:col>1</xdr:col>
      <xdr:colOff>2751772</xdr:colOff>
      <xdr:row>47</xdr:row>
      <xdr:rowOff>133033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462" y="11066463"/>
          <a:ext cx="1918335" cy="7442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833437</xdr:colOff>
      <xdr:row>48</xdr:row>
      <xdr:rowOff>150813</xdr:rowOff>
    </xdr:from>
    <xdr:to>
      <xdr:col>1</xdr:col>
      <xdr:colOff>2751772</xdr:colOff>
      <xdr:row>52</xdr:row>
      <xdr:rowOff>133033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625" y="10961688"/>
          <a:ext cx="1918335" cy="7124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"/>
  <sheetViews>
    <sheetView topLeftCell="E25" zoomScaleNormal="100" workbookViewId="0">
      <selection activeCell="M35" sqref="M35"/>
    </sheetView>
  </sheetViews>
  <sheetFormatPr baseColWidth="10" defaultColWidth="10.85546875" defaultRowHeight="15" x14ac:dyDescent="0.25"/>
  <cols>
    <col min="1" max="1" width="8.7109375" customWidth="1"/>
    <col min="2" max="2" width="57.7109375" customWidth="1"/>
    <col min="3" max="3" width="8.5703125" customWidth="1"/>
    <col min="4" max="4" width="8.7109375" customWidth="1"/>
    <col min="5" max="5" width="9.85546875" customWidth="1"/>
    <col min="6" max="6" width="12.28515625" customWidth="1"/>
    <col min="7" max="7" width="9.85546875" customWidth="1"/>
    <col min="8" max="9" width="11.140625" customWidth="1"/>
    <col min="10" max="10" width="12.28515625" customWidth="1"/>
    <col min="11" max="11" width="13.7109375" customWidth="1"/>
    <col min="12" max="12" width="10.5703125" customWidth="1"/>
    <col min="13" max="13" width="19.42578125" customWidth="1"/>
    <col min="14" max="14" width="18.85546875" style="5" customWidth="1"/>
    <col min="15" max="15" width="20.28515625" style="5" hidden="1" customWidth="1"/>
    <col min="16" max="16" width="12.5703125" style="5" bestFit="1" customWidth="1"/>
  </cols>
  <sheetData>
    <row r="1" spans="1:14" s="5" customFormat="1" x14ac:dyDescent="0.25">
      <c r="A1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s="5" customFormat="1" x14ac:dyDescent="0.25">
      <c r="A2"/>
      <c r="B2" s="16" t="s">
        <v>36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s="5" customFormat="1" x14ac:dyDescent="0.25">
      <c r="A3"/>
      <c r="B3" s="15" t="s">
        <v>37</v>
      </c>
      <c r="C3" s="15"/>
      <c r="D3" s="15"/>
      <c r="E3" s="16"/>
      <c r="F3" s="16"/>
      <c r="G3" s="16"/>
      <c r="H3" s="16"/>
      <c r="I3" s="16"/>
      <c r="J3" s="16"/>
      <c r="K3" s="16"/>
      <c r="L3" s="16"/>
      <c r="M3" s="16"/>
    </row>
    <row r="4" spans="1:14" s="5" customFormat="1" x14ac:dyDescent="0.25">
      <c r="A4"/>
      <c r="B4" s="16" t="s">
        <v>38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4" s="5" customFormat="1" x14ac:dyDescent="0.25">
      <c r="A5"/>
      <c r="B5" s="16" t="s">
        <v>39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4" s="5" customFormat="1" x14ac:dyDescent="0.25">
      <c r="A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4" s="5" customFormat="1" ht="21.75" customHeight="1" x14ac:dyDescent="0.3">
      <c r="A7" s="71" t="s">
        <v>11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4" s="5" customFormat="1" ht="21.75" customHeight="1" x14ac:dyDescent="0.3">
      <c r="A8" s="72" t="s">
        <v>8</v>
      </c>
      <c r="B8" s="72"/>
      <c r="C8" s="72"/>
      <c r="D8" s="72"/>
      <c r="E8" s="72"/>
      <c r="F8" s="72" t="s">
        <v>9</v>
      </c>
      <c r="G8" s="72"/>
      <c r="H8" s="72"/>
      <c r="I8" s="72"/>
      <c r="J8" s="72"/>
      <c r="K8" s="72"/>
      <c r="L8" s="72"/>
      <c r="M8" s="72"/>
    </row>
    <row r="9" spans="1:14" s="5" customFormat="1" ht="54" customHeight="1" x14ac:dyDescent="0.25">
      <c r="A9" s="1" t="s">
        <v>0</v>
      </c>
      <c r="B9" s="1" t="s">
        <v>10</v>
      </c>
      <c r="C9" s="1" t="s">
        <v>41</v>
      </c>
      <c r="D9" s="1" t="s">
        <v>40</v>
      </c>
      <c r="E9" s="7" t="s">
        <v>1</v>
      </c>
      <c r="F9" s="2" t="s">
        <v>5</v>
      </c>
      <c r="G9" s="2" t="s">
        <v>2</v>
      </c>
      <c r="H9" s="2" t="s">
        <v>6</v>
      </c>
      <c r="I9" s="2" t="s">
        <v>29</v>
      </c>
      <c r="J9" s="2" t="s">
        <v>28</v>
      </c>
      <c r="K9" s="2" t="s">
        <v>44</v>
      </c>
      <c r="L9" s="3" t="s">
        <v>7</v>
      </c>
      <c r="M9" s="3" t="s">
        <v>66</v>
      </c>
    </row>
    <row r="10" spans="1:14" s="5" customFormat="1" ht="19.5" customHeight="1" x14ac:dyDescent="0.25">
      <c r="A10" s="70" t="s">
        <v>3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26">
        <v>0.26069999999999999</v>
      </c>
    </row>
    <row r="11" spans="1:14" s="5" customFormat="1" x14ac:dyDescent="0.25">
      <c r="A11" s="8">
        <v>1</v>
      </c>
      <c r="B11" s="11" t="s">
        <v>12</v>
      </c>
      <c r="C11" s="12" t="s">
        <v>42</v>
      </c>
      <c r="D11" s="12" t="s">
        <v>42</v>
      </c>
      <c r="E11" s="10" t="s">
        <v>26</v>
      </c>
      <c r="F11" s="9">
        <f>+(8800000+15000)*N$10+(8800000+15000)</f>
        <v>11113070.5</v>
      </c>
      <c r="G11" s="9">
        <f t="shared" ref="G11:G25" si="0">+F11*8%</f>
        <v>889045.64</v>
      </c>
      <c r="H11" s="9"/>
      <c r="I11" s="9"/>
      <c r="J11" s="9">
        <f t="shared" ref="J11:J23" si="1">+F11+G11</f>
        <v>12002116.140000001</v>
      </c>
      <c r="K11" s="9">
        <f t="shared" ref="K11:K25" si="2">+J11*10%</f>
        <v>1200211.6140000001</v>
      </c>
      <c r="L11" s="9">
        <f t="shared" ref="L11:L25" si="3">+K11*19%</f>
        <v>228040.20666000003</v>
      </c>
      <c r="M11" s="9">
        <f>+(J11+L11)/30*13</f>
        <v>5299734.416886</v>
      </c>
    </row>
    <row r="12" spans="1:14" s="5" customFormat="1" x14ac:dyDescent="0.25">
      <c r="A12" s="8">
        <v>2</v>
      </c>
      <c r="B12" s="11" t="s">
        <v>13</v>
      </c>
      <c r="C12" s="12" t="s">
        <v>42</v>
      </c>
      <c r="D12" s="12" t="s">
        <v>42</v>
      </c>
      <c r="E12" s="10" t="s">
        <v>26</v>
      </c>
      <c r="F12" s="9">
        <f>+F11</f>
        <v>11113070.5</v>
      </c>
      <c r="G12" s="9">
        <f t="shared" si="0"/>
        <v>889045.64</v>
      </c>
      <c r="H12" s="9"/>
      <c r="I12" s="9"/>
      <c r="J12" s="9">
        <f t="shared" si="1"/>
        <v>12002116.140000001</v>
      </c>
      <c r="K12" s="9">
        <f t="shared" si="2"/>
        <v>1200211.6140000001</v>
      </c>
      <c r="L12" s="9">
        <f t="shared" si="3"/>
        <v>228040.20666000003</v>
      </c>
      <c r="M12" s="9">
        <f t="shared" ref="M12:M25" si="4">+(J12+L12)/30*13</f>
        <v>5299734.416886</v>
      </c>
    </row>
    <row r="13" spans="1:14" s="5" customFormat="1" x14ac:dyDescent="0.25">
      <c r="A13" s="8">
        <v>3</v>
      </c>
      <c r="B13" s="11" t="s">
        <v>14</v>
      </c>
      <c r="C13" s="12" t="s">
        <v>42</v>
      </c>
      <c r="D13" s="12" t="s">
        <v>42</v>
      </c>
      <c r="E13" s="10" t="s">
        <v>27</v>
      </c>
      <c r="F13" s="9">
        <f>+(((F11*55.97%)/15)*12)</f>
        <v>4975988.4470799994</v>
      </c>
      <c r="G13" s="9">
        <f t="shared" si="0"/>
        <v>398079.07576639997</v>
      </c>
      <c r="H13" s="9"/>
      <c r="I13" s="9"/>
      <c r="J13" s="9">
        <f t="shared" si="1"/>
        <v>5374067.5228463989</v>
      </c>
      <c r="K13" s="9">
        <f t="shared" si="2"/>
        <v>537406.75228463986</v>
      </c>
      <c r="L13" s="9">
        <f t="shared" si="3"/>
        <v>102107.28293408158</v>
      </c>
      <c r="M13" s="9">
        <f t="shared" si="4"/>
        <v>2373009.082504875</v>
      </c>
    </row>
    <row r="14" spans="1:14" s="5" customFormat="1" x14ac:dyDescent="0.25">
      <c r="A14" s="8">
        <v>4</v>
      </c>
      <c r="B14" s="11" t="s">
        <v>15</v>
      </c>
      <c r="C14" s="12" t="s">
        <v>42</v>
      </c>
      <c r="D14" s="12" t="s">
        <v>42</v>
      </c>
      <c r="E14" s="10" t="s">
        <v>26</v>
      </c>
      <c r="F14" s="9">
        <f>+F11</f>
        <v>11113070.5</v>
      </c>
      <c r="G14" s="9">
        <f t="shared" si="0"/>
        <v>889045.64</v>
      </c>
      <c r="H14" s="9"/>
      <c r="I14" s="9"/>
      <c r="J14" s="9">
        <f t="shared" si="1"/>
        <v>12002116.140000001</v>
      </c>
      <c r="K14" s="9">
        <f t="shared" si="2"/>
        <v>1200211.6140000001</v>
      </c>
      <c r="L14" s="9">
        <f t="shared" si="3"/>
        <v>228040.20666000003</v>
      </c>
      <c r="M14" s="9">
        <f t="shared" si="4"/>
        <v>5299734.416886</v>
      </c>
    </row>
    <row r="15" spans="1:14" s="5" customFormat="1" x14ac:dyDescent="0.25">
      <c r="A15" s="8">
        <v>5</v>
      </c>
      <c r="B15" s="11" t="s">
        <v>16</v>
      </c>
      <c r="C15" s="12" t="s">
        <v>42</v>
      </c>
      <c r="D15" s="12" t="s">
        <v>42</v>
      </c>
      <c r="E15" s="10" t="s">
        <v>26</v>
      </c>
      <c r="F15" s="9">
        <f>+F11</f>
        <v>11113070.5</v>
      </c>
      <c r="G15" s="9">
        <f t="shared" si="0"/>
        <v>889045.64</v>
      </c>
      <c r="H15" s="9"/>
      <c r="I15" s="9"/>
      <c r="J15" s="9">
        <f t="shared" si="1"/>
        <v>12002116.140000001</v>
      </c>
      <c r="K15" s="9">
        <f t="shared" si="2"/>
        <v>1200211.6140000001</v>
      </c>
      <c r="L15" s="9">
        <f t="shared" si="3"/>
        <v>228040.20666000003</v>
      </c>
      <c r="M15" s="9">
        <f t="shared" si="4"/>
        <v>5299734.416886</v>
      </c>
    </row>
    <row r="16" spans="1:14" s="5" customFormat="1" x14ac:dyDescent="0.25">
      <c r="A16" s="8">
        <v>6</v>
      </c>
      <c r="B16" s="11" t="s">
        <v>17</v>
      </c>
      <c r="C16" s="12" t="s">
        <v>42</v>
      </c>
      <c r="D16" s="12" t="s">
        <v>42</v>
      </c>
      <c r="E16" s="10" t="s">
        <v>26</v>
      </c>
      <c r="F16" s="9">
        <f>+F11</f>
        <v>11113070.5</v>
      </c>
      <c r="G16" s="9">
        <f t="shared" si="0"/>
        <v>889045.64</v>
      </c>
      <c r="H16" s="9"/>
      <c r="I16" s="9"/>
      <c r="J16" s="9">
        <f t="shared" si="1"/>
        <v>12002116.140000001</v>
      </c>
      <c r="K16" s="9">
        <f t="shared" si="2"/>
        <v>1200211.6140000001</v>
      </c>
      <c r="L16" s="9">
        <f t="shared" si="3"/>
        <v>228040.20666000003</v>
      </c>
      <c r="M16" s="9">
        <f t="shared" si="4"/>
        <v>5299734.416886</v>
      </c>
    </row>
    <row r="17" spans="1:13" s="5" customFormat="1" x14ac:dyDescent="0.25">
      <c r="A17" s="8">
        <v>7</v>
      </c>
      <c r="B17" s="11" t="s">
        <v>18</v>
      </c>
      <c r="C17" s="12" t="s">
        <v>42</v>
      </c>
      <c r="D17" s="12" t="s">
        <v>42</v>
      </c>
      <c r="E17" s="10" t="s">
        <v>26</v>
      </c>
      <c r="F17" s="9">
        <f>+F11</f>
        <v>11113070.5</v>
      </c>
      <c r="G17" s="9">
        <f t="shared" si="0"/>
        <v>889045.64</v>
      </c>
      <c r="H17" s="9"/>
      <c r="I17" s="9"/>
      <c r="J17" s="9">
        <f t="shared" si="1"/>
        <v>12002116.140000001</v>
      </c>
      <c r="K17" s="9">
        <f t="shared" si="2"/>
        <v>1200211.6140000001</v>
      </c>
      <c r="L17" s="9">
        <f t="shared" si="3"/>
        <v>228040.20666000003</v>
      </c>
      <c r="M17" s="9">
        <f t="shared" si="4"/>
        <v>5299734.416886</v>
      </c>
    </row>
    <row r="18" spans="1:13" s="5" customFormat="1" x14ac:dyDescent="0.25">
      <c r="A18" s="8">
        <v>8</v>
      </c>
      <c r="B18" s="11" t="s">
        <v>19</v>
      </c>
      <c r="C18" s="12" t="s">
        <v>42</v>
      </c>
      <c r="D18" s="12" t="s">
        <v>42</v>
      </c>
      <c r="E18" s="10" t="s">
        <v>26</v>
      </c>
      <c r="F18" s="9">
        <f>+F11</f>
        <v>11113070.5</v>
      </c>
      <c r="G18" s="9">
        <f t="shared" si="0"/>
        <v>889045.64</v>
      </c>
      <c r="H18" s="9"/>
      <c r="I18" s="9"/>
      <c r="J18" s="9">
        <f t="shared" si="1"/>
        <v>12002116.140000001</v>
      </c>
      <c r="K18" s="9">
        <f t="shared" si="2"/>
        <v>1200211.6140000001</v>
      </c>
      <c r="L18" s="9">
        <f t="shared" si="3"/>
        <v>228040.20666000003</v>
      </c>
      <c r="M18" s="9">
        <f t="shared" si="4"/>
        <v>5299734.416886</v>
      </c>
    </row>
    <row r="19" spans="1:13" s="5" customFormat="1" x14ac:dyDescent="0.25">
      <c r="A19" s="8">
        <v>9</v>
      </c>
      <c r="B19" s="11" t="s">
        <v>20</v>
      </c>
      <c r="C19" s="12" t="s">
        <v>42</v>
      </c>
      <c r="D19" s="12" t="s">
        <v>42</v>
      </c>
      <c r="E19" s="10" t="s">
        <v>26</v>
      </c>
      <c r="F19" s="9">
        <f>+F11</f>
        <v>11113070.5</v>
      </c>
      <c r="G19" s="9">
        <f t="shared" si="0"/>
        <v>889045.64</v>
      </c>
      <c r="H19" s="9"/>
      <c r="I19" s="9"/>
      <c r="J19" s="9">
        <f t="shared" si="1"/>
        <v>12002116.140000001</v>
      </c>
      <c r="K19" s="9">
        <f t="shared" si="2"/>
        <v>1200211.6140000001</v>
      </c>
      <c r="L19" s="9">
        <f t="shared" si="3"/>
        <v>228040.20666000003</v>
      </c>
      <c r="M19" s="9">
        <f t="shared" si="4"/>
        <v>5299734.416886</v>
      </c>
    </row>
    <row r="20" spans="1:13" s="5" customFormat="1" x14ac:dyDescent="0.25">
      <c r="A20" s="8">
        <v>10</v>
      </c>
      <c r="B20" s="11" t="s">
        <v>21</v>
      </c>
      <c r="C20" s="12" t="s">
        <v>42</v>
      </c>
      <c r="D20" s="12" t="s">
        <v>42</v>
      </c>
      <c r="E20" s="10" t="s">
        <v>26</v>
      </c>
      <c r="F20" s="9">
        <f>+F11</f>
        <v>11113070.5</v>
      </c>
      <c r="G20" s="9">
        <f t="shared" si="0"/>
        <v>889045.64</v>
      </c>
      <c r="H20" s="9"/>
      <c r="I20" s="9"/>
      <c r="J20" s="9">
        <f t="shared" si="1"/>
        <v>12002116.140000001</v>
      </c>
      <c r="K20" s="9">
        <f t="shared" si="2"/>
        <v>1200211.6140000001</v>
      </c>
      <c r="L20" s="9">
        <f t="shared" si="3"/>
        <v>228040.20666000003</v>
      </c>
      <c r="M20" s="9">
        <f t="shared" si="4"/>
        <v>5299734.416886</v>
      </c>
    </row>
    <row r="21" spans="1:13" s="5" customFormat="1" x14ac:dyDescent="0.25">
      <c r="A21" s="8">
        <v>11</v>
      </c>
      <c r="B21" s="11" t="s">
        <v>22</v>
      </c>
      <c r="C21" s="12" t="s">
        <v>42</v>
      </c>
      <c r="D21" s="12" t="s">
        <v>42</v>
      </c>
      <c r="E21" s="10" t="s">
        <v>26</v>
      </c>
      <c r="F21" s="9">
        <f>+F11</f>
        <v>11113070.5</v>
      </c>
      <c r="G21" s="9">
        <f t="shared" si="0"/>
        <v>889045.64</v>
      </c>
      <c r="H21" s="9"/>
      <c r="I21" s="9"/>
      <c r="J21" s="9">
        <f t="shared" si="1"/>
        <v>12002116.140000001</v>
      </c>
      <c r="K21" s="9">
        <f t="shared" si="2"/>
        <v>1200211.6140000001</v>
      </c>
      <c r="L21" s="9">
        <f t="shared" si="3"/>
        <v>228040.20666000003</v>
      </c>
      <c r="M21" s="9">
        <f t="shared" si="4"/>
        <v>5299734.416886</v>
      </c>
    </row>
    <row r="22" spans="1:13" s="5" customFormat="1" x14ac:dyDescent="0.25">
      <c r="A22" s="8">
        <v>12</v>
      </c>
      <c r="B22" s="11" t="s">
        <v>23</v>
      </c>
      <c r="C22" s="12" t="s">
        <v>42</v>
      </c>
      <c r="D22" s="12" t="s">
        <v>42</v>
      </c>
      <c r="E22" s="10" t="s">
        <v>26</v>
      </c>
      <c r="F22" s="9">
        <f>+F11</f>
        <v>11113070.5</v>
      </c>
      <c r="G22" s="9">
        <f t="shared" si="0"/>
        <v>889045.64</v>
      </c>
      <c r="H22" s="9"/>
      <c r="I22" s="9"/>
      <c r="J22" s="9">
        <f t="shared" si="1"/>
        <v>12002116.140000001</v>
      </c>
      <c r="K22" s="9">
        <f t="shared" si="2"/>
        <v>1200211.6140000001</v>
      </c>
      <c r="L22" s="9">
        <f t="shared" si="3"/>
        <v>228040.20666000003</v>
      </c>
      <c r="M22" s="9">
        <f t="shared" si="4"/>
        <v>5299734.416886</v>
      </c>
    </row>
    <row r="23" spans="1:13" s="5" customFormat="1" x14ac:dyDescent="0.25">
      <c r="A23" s="8">
        <v>13</v>
      </c>
      <c r="B23" s="11" t="s">
        <v>24</v>
      </c>
      <c r="C23" s="12" t="s">
        <v>42</v>
      </c>
      <c r="D23" s="12" t="s">
        <v>42</v>
      </c>
      <c r="E23" s="10" t="s">
        <v>26</v>
      </c>
      <c r="F23" s="9">
        <f>+(10120000+15000)*N10+(10120000+15000)</f>
        <v>12777194.5</v>
      </c>
      <c r="G23" s="9">
        <f t="shared" si="0"/>
        <v>1022175.56</v>
      </c>
      <c r="H23" s="9"/>
      <c r="I23" s="9"/>
      <c r="J23" s="9">
        <f t="shared" si="1"/>
        <v>13799370.060000001</v>
      </c>
      <c r="K23" s="9">
        <f t="shared" si="2"/>
        <v>1379937.0060000001</v>
      </c>
      <c r="L23" s="9">
        <f t="shared" si="3"/>
        <v>262188.03114000004</v>
      </c>
      <c r="M23" s="9">
        <f t="shared" si="4"/>
        <v>6093341.8394940002</v>
      </c>
    </row>
    <row r="24" spans="1:13" s="5" customFormat="1" x14ac:dyDescent="0.25">
      <c r="A24" s="8">
        <v>14</v>
      </c>
      <c r="B24" s="11" t="s">
        <v>25</v>
      </c>
      <c r="C24" s="12" t="s">
        <v>42</v>
      </c>
      <c r="D24" s="12" t="s">
        <v>43</v>
      </c>
      <c r="E24" s="10" t="s">
        <v>26</v>
      </c>
      <c r="F24" s="9">
        <f>+F11</f>
        <v>11113070.5</v>
      </c>
      <c r="G24" s="9"/>
      <c r="H24" s="9">
        <f>+F24*10%</f>
        <v>1111307.05</v>
      </c>
      <c r="I24" s="9"/>
      <c r="J24" s="9">
        <f>+F24+H24</f>
        <v>12224377.550000001</v>
      </c>
      <c r="K24" s="9">
        <f t="shared" si="2"/>
        <v>1222437.7550000001</v>
      </c>
      <c r="L24" s="9">
        <f t="shared" si="3"/>
        <v>232263.17345000003</v>
      </c>
      <c r="M24" s="9">
        <f t="shared" si="4"/>
        <v>5397877.6468283338</v>
      </c>
    </row>
    <row r="25" spans="1:13" s="5" customFormat="1" x14ac:dyDescent="0.25">
      <c r="A25" s="8">
        <v>15</v>
      </c>
      <c r="B25" s="11" t="s">
        <v>52</v>
      </c>
      <c r="C25" s="12" t="s">
        <v>42</v>
      </c>
      <c r="D25" s="12" t="s">
        <v>42</v>
      </c>
      <c r="E25" s="10" t="s">
        <v>27</v>
      </c>
      <c r="F25" s="9">
        <f>+(4088976+10000)+N10+(4088976+10000)</f>
        <v>8197952.2607000005</v>
      </c>
      <c r="G25" s="9">
        <f t="shared" si="0"/>
        <v>655836.18085600005</v>
      </c>
      <c r="H25" s="9"/>
      <c r="I25" s="9"/>
      <c r="J25" s="9">
        <f>+F25+G25</f>
        <v>8853788.4415560011</v>
      </c>
      <c r="K25" s="9">
        <f t="shared" si="2"/>
        <v>885378.84415560018</v>
      </c>
      <c r="L25" s="9">
        <f t="shared" si="3"/>
        <v>168221.98038956404</v>
      </c>
      <c r="M25" s="9">
        <f t="shared" si="4"/>
        <v>3909537.8495097449</v>
      </c>
    </row>
    <row r="26" spans="1:13" s="5" customFormat="1" ht="15" customHeight="1" x14ac:dyDescent="0.25">
      <c r="A26" s="73" t="s">
        <v>31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5"/>
      <c r="M26" s="9">
        <f>SUM(M11:M25)</f>
        <v>76070845.004082963</v>
      </c>
    </row>
    <row r="27" spans="1:13" s="5" customFormat="1" ht="21" customHeight="1" x14ac:dyDescent="0.25">
      <c r="A27" s="70" t="s">
        <v>4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</row>
    <row r="28" spans="1:13" s="5" customFormat="1" ht="15" customHeight="1" x14ac:dyDescent="0.25">
      <c r="A28" s="8">
        <v>1</v>
      </c>
      <c r="B28" s="11" t="s">
        <v>46</v>
      </c>
      <c r="C28" s="12" t="s">
        <v>42</v>
      </c>
      <c r="D28" s="12" t="s">
        <v>42</v>
      </c>
      <c r="E28" s="12" t="s">
        <v>26</v>
      </c>
      <c r="F28" s="9">
        <f>+F11</f>
        <v>11113070.5</v>
      </c>
      <c r="G28" s="9">
        <f>+F28*8%</f>
        <v>889045.64</v>
      </c>
      <c r="H28" s="9"/>
      <c r="I28" s="9"/>
      <c r="J28" s="9">
        <f>+F28+G28</f>
        <v>12002116.140000001</v>
      </c>
      <c r="K28" s="9">
        <f t="shared" ref="K28:K35" si="5">+J28*10%</f>
        <v>1200211.6140000001</v>
      </c>
      <c r="L28" s="9">
        <f t="shared" ref="L28:L35" si="6">+K28*19%</f>
        <v>228040.20666000003</v>
      </c>
      <c r="M28" s="9">
        <f>+(J28+L28)/30*13</f>
        <v>5299734.416886</v>
      </c>
    </row>
    <row r="29" spans="1:13" x14ac:dyDescent="0.25">
      <c r="A29" s="8">
        <v>2</v>
      </c>
      <c r="B29" s="11" t="s">
        <v>47</v>
      </c>
      <c r="C29" s="12" t="s">
        <v>42</v>
      </c>
      <c r="D29" s="12" t="s">
        <v>42</v>
      </c>
      <c r="E29" s="10" t="s">
        <v>27</v>
      </c>
      <c r="F29" s="9">
        <f>+(4925360+20000)*N10+(4925360+20000)</f>
        <v>6234615.352</v>
      </c>
      <c r="G29" s="9">
        <f>+F29*8%</f>
        <v>498769.22816</v>
      </c>
      <c r="H29" s="9"/>
      <c r="I29" s="9"/>
      <c r="J29" s="9">
        <f>+F29+G29</f>
        <v>6733384.5801600004</v>
      </c>
      <c r="K29" s="9">
        <f t="shared" si="5"/>
        <v>673338.45801600011</v>
      </c>
      <c r="L29" s="9">
        <f t="shared" si="6"/>
        <v>127934.30702304002</v>
      </c>
      <c r="M29" s="9">
        <f t="shared" ref="M29:M35" si="7">+(J29+L29)/30*13</f>
        <v>2973238.1844459842</v>
      </c>
    </row>
    <row r="30" spans="1:13" x14ac:dyDescent="0.25">
      <c r="A30" s="8">
        <v>3</v>
      </c>
      <c r="B30" s="11" t="s">
        <v>48</v>
      </c>
      <c r="C30" s="12" t="s">
        <v>42</v>
      </c>
      <c r="D30" s="12" t="s">
        <v>42</v>
      </c>
      <c r="E30" s="12" t="s">
        <v>26</v>
      </c>
      <c r="F30" s="9">
        <f>+F11</f>
        <v>11113070.5</v>
      </c>
      <c r="G30" s="9">
        <f>+F30*8%</f>
        <v>889045.64</v>
      </c>
      <c r="H30" s="9"/>
      <c r="I30" s="9"/>
      <c r="J30" s="9">
        <f>+F30+G30</f>
        <v>12002116.140000001</v>
      </c>
      <c r="K30" s="9">
        <f t="shared" si="5"/>
        <v>1200211.6140000001</v>
      </c>
      <c r="L30" s="9">
        <f t="shared" si="6"/>
        <v>228040.20666000003</v>
      </c>
      <c r="M30" s="9">
        <f t="shared" si="7"/>
        <v>5299734.416886</v>
      </c>
    </row>
    <row r="31" spans="1:13" x14ac:dyDescent="0.25">
      <c r="A31" s="8">
        <v>4</v>
      </c>
      <c r="B31" s="11" t="s">
        <v>49</v>
      </c>
      <c r="C31" s="12" t="s">
        <v>42</v>
      </c>
      <c r="D31" s="12" t="s">
        <v>42</v>
      </c>
      <c r="E31" s="12" t="s">
        <v>26</v>
      </c>
      <c r="F31" s="9">
        <f>+F11</f>
        <v>11113070.5</v>
      </c>
      <c r="G31" s="9">
        <f>+F31*8%</f>
        <v>889045.64</v>
      </c>
      <c r="H31" s="9"/>
      <c r="I31" s="9"/>
      <c r="J31" s="9">
        <f>+F31+G31</f>
        <v>12002116.140000001</v>
      </c>
      <c r="K31" s="9">
        <f t="shared" si="5"/>
        <v>1200211.6140000001</v>
      </c>
      <c r="L31" s="9">
        <f t="shared" si="6"/>
        <v>228040.20666000003</v>
      </c>
      <c r="M31" s="9">
        <f t="shared" si="7"/>
        <v>5299734.416886</v>
      </c>
    </row>
    <row r="32" spans="1:13" x14ac:dyDescent="0.25">
      <c r="A32" s="8">
        <v>5</v>
      </c>
      <c r="B32" s="11" t="s">
        <v>50</v>
      </c>
      <c r="C32" s="12" t="s">
        <v>42</v>
      </c>
      <c r="D32" s="12" t="s">
        <v>42</v>
      </c>
      <c r="E32" s="12" t="s">
        <v>26</v>
      </c>
      <c r="F32" s="9">
        <f>+F11</f>
        <v>11113070.5</v>
      </c>
      <c r="G32" s="9">
        <f>+F32*8%</f>
        <v>889045.64</v>
      </c>
      <c r="H32" s="9"/>
      <c r="I32" s="9"/>
      <c r="J32" s="9">
        <f>+F32+G32</f>
        <v>12002116.140000001</v>
      </c>
      <c r="K32" s="9">
        <f t="shared" si="5"/>
        <v>1200211.6140000001</v>
      </c>
      <c r="L32" s="9">
        <f t="shared" si="6"/>
        <v>228040.20666000003</v>
      </c>
      <c r="M32" s="9">
        <f t="shared" si="7"/>
        <v>5299734.416886</v>
      </c>
    </row>
    <row r="33" spans="1:16" x14ac:dyDescent="0.25">
      <c r="A33" s="8">
        <v>6</v>
      </c>
      <c r="B33" s="11" t="s">
        <v>51</v>
      </c>
      <c r="C33" s="12" t="s">
        <v>43</v>
      </c>
      <c r="D33" s="12" t="s">
        <v>42</v>
      </c>
      <c r="E33" s="12" t="s">
        <v>26</v>
      </c>
      <c r="F33" s="9">
        <f>+F11</f>
        <v>11113070.5</v>
      </c>
      <c r="G33" s="9"/>
      <c r="H33" s="9"/>
      <c r="I33" s="9">
        <f>+F33*11%</f>
        <v>1222437.7550000001</v>
      </c>
      <c r="J33" s="9">
        <f>+F33+I33</f>
        <v>12335508.255000001</v>
      </c>
      <c r="K33" s="9">
        <f t="shared" si="5"/>
        <v>1233550.8255</v>
      </c>
      <c r="L33" s="9">
        <f t="shared" si="6"/>
        <v>234374.65684500002</v>
      </c>
      <c r="M33" s="9">
        <f t="shared" si="7"/>
        <v>5446949.2617995003</v>
      </c>
    </row>
    <row r="34" spans="1:16" x14ac:dyDescent="0.25">
      <c r="A34" s="18">
        <v>7</v>
      </c>
      <c r="B34" s="11" t="s">
        <v>25</v>
      </c>
      <c r="C34" s="12" t="s">
        <v>42</v>
      </c>
      <c r="D34" s="12" t="s">
        <v>43</v>
      </c>
      <c r="E34" s="12" t="s">
        <v>26</v>
      </c>
      <c r="F34" s="9">
        <f>+F11</f>
        <v>11113070.5</v>
      </c>
      <c r="G34" s="9"/>
      <c r="H34" s="9">
        <f>+F34*10%</f>
        <v>1111307.05</v>
      </c>
      <c r="I34" s="9"/>
      <c r="J34" s="9">
        <f>+F34+H34</f>
        <v>12224377.550000001</v>
      </c>
      <c r="K34" s="9">
        <f t="shared" si="5"/>
        <v>1222437.7550000001</v>
      </c>
      <c r="L34" s="9">
        <f t="shared" si="6"/>
        <v>232263.17345000003</v>
      </c>
      <c r="M34" s="9">
        <f t="shared" si="7"/>
        <v>5397877.6468283338</v>
      </c>
    </row>
    <row r="35" spans="1:16" x14ac:dyDescent="0.25">
      <c r="A35" s="18">
        <v>8</v>
      </c>
      <c r="B35" s="11" t="s">
        <v>45</v>
      </c>
      <c r="C35" s="12" t="s">
        <v>42</v>
      </c>
      <c r="D35" s="12" t="s">
        <v>42</v>
      </c>
      <c r="E35" s="12" t="s">
        <v>27</v>
      </c>
      <c r="F35" s="9">
        <f>+F25</f>
        <v>8197952.2607000005</v>
      </c>
      <c r="G35" s="9">
        <f>+F35*8%</f>
        <v>655836.18085600005</v>
      </c>
      <c r="H35" s="9"/>
      <c r="I35" s="9"/>
      <c r="J35" s="9">
        <f t="shared" ref="J35" si="8">+F35+G35</f>
        <v>8853788.4415560011</v>
      </c>
      <c r="K35" s="9">
        <f t="shared" si="5"/>
        <v>885378.84415560018</v>
      </c>
      <c r="L35" s="9">
        <f t="shared" si="6"/>
        <v>168221.98038956404</v>
      </c>
      <c r="M35" s="9">
        <f t="shared" si="7"/>
        <v>3909537.8495097449</v>
      </c>
    </row>
    <row r="36" spans="1:16" x14ac:dyDescent="0.25">
      <c r="A36" s="73" t="s">
        <v>32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5"/>
      <c r="M36" s="14">
        <f>SUM(M28:M35)</f>
        <v>38926540.610127561</v>
      </c>
    </row>
    <row r="37" spans="1:16" ht="21" customHeight="1" x14ac:dyDescent="0.25">
      <c r="A37" s="77" t="s">
        <v>64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  <c r="M37" s="25">
        <f>+M26+M36</f>
        <v>114997385.61421052</v>
      </c>
      <c r="N37" s="27">
        <f>M26+M36</f>
        <v>114997385.61421052</v>
      </c>
      <c r="O37" s="23">
        <f>+N37+'PROPUESTA INCREMENTO2023'!N42</f>
        <v>218816422.16003215</v>
      </c>
    </row>
    <row r="38" spans="1:16" ht="21" customHeight="1" x14ac:dyDescent="0.25">
      <c r="A38" s="77" t="s">
        <v>65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9"/>
      <c r="M38" s="17" t="e">
        <f>+#REF!</f>
        <v>#REF!</v>
      </c>
    </row>
    <row r="39" spans="1:16" ht="21" customHeight="1" x14ac:dyDescent="0.25">
      <c r="A39" s="77" t="s">
        <v>63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9"/>
      <c r="M39" s="17" t="e">
        <f>+M37+M38</f>
        <v>#REF!</v>
      </c>
    </row>
    <row r="42" spans="1:16" x14ac:dyDescent="0.25">
      <c r="M42" s="20"/>
      <c r="N42" s="20"/>
      <c r="O42" s="20"/>
      <c r="P42" s="20"/>
    </row>
    <row r="43" spans="1:16" x14ac:dyDescent="0.25">
      <c r="M43" s="20"/>
      <c r="N43" s="21"/>
      <c r="O43" s="20"/>
      <c r="P43" s="20"/>
    </row>
    <row r="44" spans="1:16" x14ac:dyDescent="0.25">
      <c r="A44" s="19"/>
      <c r="B44" s="19"/>
      <c r="M44" s="20"/>
      <c r="N44" s="20"/>
      <c r="O44" s="20"/>
      <c r="P44" s="20"/>
    </row>
    <row r="45" spans="1:16" x14ac:dyDescent="0.25">
      <c r="A45" s="80" t="s">
        <v>58</v>
      </c>
      <c r="B45" s="80"/>
      <c r="M45" s="20"/>
      <c r="N45" s="20"/>
      <c r="O45" s="20"/>
      <c r="P45" s="20"/>
    </row>
    <row r="46" spans="1:16" x14ac:dyDescent="0.25">
      <c r="A46" s="76" t="s">
        <v>59</v>
      </c>
      <c r="B46" s="76"/>
      <c r="M46" s="20"/>
      <c r="N46" s="20"/>
      <c r="O46" s="20"/>
      <c r="P46" s="20"/>
    </row>
    <row r="47" spans="1:16" x14ac:dyDescent="0.25">
      <c r="A47" s="76" t="s">
        <v>60</v>
      </c>
      <c r="B47" s="76"/>
      <c r="M47" s="20"/>
      <c r="N47" s="20"/>
      <c r="O47" s="20"/>
      <c r="P47" s="20"/>
    </row>
    <row r="48" spans="1:16" x14ac:dyDescent="0.25">
      <c r="M48" s="20"/>
      <c r="N48" s="20"/>
      <c r="O48" s="20"/>
      <c r="P48" s="20"/>
    </row>
    <row r="49" spans="1:16" x14ac:dyDescent="0.25">
      <c r="M49" s="20"/>
      <c r="N49" s="20"/>
      <c r="O49" s="20"/>
      <c r="P49" s="20"/>
    </row>
    <row r="50" spans="1:16" x14ac:dyDescent="0.25">
      <c r="M50" s="20"/>
      <c r="N50" s="20"/>
      <c r="O50" s="20"/>
      <c r="P50" s="20"/>
    </row>
    <row r="51" spans="1:16" x14ac:dyDescent="0.25">
      <c r="A51" s="4"/>
      <c r="M51" s="20"/>
      <c r="N51" s="20"/>
      <c r="O51" s="20"/>
      <c r="P51" s="20"/>
    </row>
  </sheetData>
  <mergeCells count="13">
    <mergeCell ref="A47:B47"/>
    <mergeCell ref="A36:L36"/>
    <mergeCell ref="A37:L37"/>
    <mergeCell ref="A38:L38"/>
    <mergeCell ref="A39:L39"/>
    <mergeCell ref="A45:B45"/>
    <mergeCell ref="A46:B46"/>
    <mergeCell ref="A27:M27"/>
    <mergeCell ref="A7:M7"/>
    <mergeCell ref="A8:E8"/>
    <mergeCell ref="F8:M8"/>
    <mergeCell ref="A10:M10"/>
    <mergeCell ref="A26:L26"/>
  </mergeCells>
  <printOptions horizontalCentered="1" verticalCentered="1"/>
  <pageMargins left="0.23622047244094499" right="0.23622047244094499" top="0.143700787" bottom="0.39370078740157499" header="0.31496062992126" footer="0.31496062992126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"/>
  <sheetViews>
    <sheetView topLeftCell="E19" zoomScaleNormal="100" workbookViewId="0">
      <selection activeCell="F12" sqref="F12"/>
    </sheetView>
  </sheetViews>
  <sheetFormatPr baseColWidth="10" defaultColWidth="10.85546875" defaultRowHeight="15" x14ac:dyDescent="0.25"/>
  <cols>
    <col min="1" max="1" width="8.7109375" customWidth="1"/>
    <col min="2" max="2" width="57.7109375" customWidth="1"/>
    <col min="3" max="3" width="8.5703125" hidden="1" customWidth="1"/>
    <col min="4" max="4" width="8.7109375" hidden="1" customWidth="1"/>
    <col min="5" max="5" width="9.85546875" customWidth="1"/>
    <col min="6" max="6" width="12.28515625" customWidth="1"/>
    <col min="7" max="7" width="9.85546875" customWidth="1"/>
    <col min="8" max="9" width="11.140625" customWidth="1"/>
    <col min="10" max="10" width="12.28515625" customWidth="1"/>
    <col min="11" max="11" width="13.7109375" customWidth="1"/>
    <col min="12" max="12" width="10.5703125" customWidth="1"/>
    <col min="13" max="13" width="19.42578125" customWidth="1"/>
    <col min="14" max="14" width="18.85546875" style="5" customWidth="1"/>
    <col min="15" max="15" width="20.28515625" style="5" hidden="1" customWidth="1"/>
    <col min="16" max="16" width="12.5703125" style="5" bestFit="1" customWidth="1"/>
  </cols>
  <sheetData>
    <row r="1" spans="1:14" s="5" customFormat="1" x14ac:dyDescent="0.25">
      <c r="A1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s="5" customFormat="1" x14ac:dyDescent="0.25">
      <c r="A2"/>
      <c r="B2" s="16" t="s">
        <v>36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s="5" customFormat="1" x14ac:dyDescent="0.25">
      <c r="A3"/>
      <c r="B3" s="15" t="s">
        <v>37</v>
      </c>
      <c r="C3" s="15"/>
      <c r="D3" s="15"/>
      <c r="E3" s="16"/>
      <c r="F3" s="16"/>
      <c r="G3" s="16"/>
      <c r="H3" s="16"/>
      <c r="I3" s="16"/>
      <c r="J3" s="16"/>
      <c r="K3" s="16"/>
      <c r="L3" s="16"/>
      <c r="M3" s="16"/>
    </row>
    <row r="4" spans="1:14" s="5" customFormat="1" x14ac:dyDescent="0.25">
      <c r="A4"/>
      <c r="B4" s="16" t="s">
        <v>38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4" s="5" customFormat="1" x14ac:dyDescent="0.25">
      <c r="A5"/>
      <c r="B5" s="16" t="s">
        <v>39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4" s="5" customFormat="1" x14ac:dyDescent="0.25">
      <c r="A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4" s="5" customFormat="1" ht="21.75" customHeight="1" x14ac:dyDescent="0.3">
      <c r="A7" s="71" t="s">
        <v>11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4" s="5" customFormat="1" ht="21.75" customHeight="1" x14ac:dyDescent="0.3">
      <c r="A8" s="72" t="s">
        <v>8</v>
      </c>
      <c r="B8" s="72"/>
      <c r="C8" s="72"/>
      <c r="D8" s="72"/>
      <c r="E8" s="72"/>
      <c r="F8" s="72" t="s">
        <v>9</v>
      </c>
      <c r="G8" s="72"/>
      <c r="H8" s="72"/>
      <c r="I8" s="72"/>
      <c r="J8" s="72"/>
      <c r="K8" s="72"/>
      <c r="L8" s="72"/>
      <c r="M8" s="72"/>
    </row>
    <row r="9" spans="1:14" s="5" customFormat="1" ht="54" customHeight="1" x14ac:dyDescent="0.25">
      <c r="A9" s="1" t="s">
        <v>0</v>
      </c>
      <c r="B9" s="1" t="s">
        <v>10</v>
      </c>
      <c r="C9" s="1" t="s">
        <v>41</v>
      </c>
      <c r="D9" s="1" t="s">
        <v>40</v>
      </c>
      <c r="E9" s="7" t="s">
        <v>1</v>
      </c>
      <c r="F9" s="2" t="s">
        <v>5</v>
      </c>
      <c r="G9" s="2" t="s">
        <v>2</v>
      </c>
      <c r="H9" s="2" t="s">
        <v>6</v>
      </c>
      <c r="I9" s="2" t="s">
        <v>29</v>
      </c>
      <c r="J9" s="2" t="s">
        <v>28</v>
      </c>
      <c r="K9" s="2" t="s">
        <v>44</v>
      </c>
      <c r="L9" s="3" t="s">
        <v>7</v>
      </c>
      <c r="M9" s="3" t="s">
        <v>62</v>
      </c>
    </row>
    <row r="10" spans="1:14" s="5" customFormat="1" ht="19.5" customHeight="1" x14ac:dyDescent="0.25">
      <c r="A10" s="70" t="s">
        <v>3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26">
        <v>0.1641</v>
      </c>
    </row>
    <row r="11" spans="1:14" s="5" customFormat="1" x14ac:dyDescent="0.25">
      <c r="A11" s="8">
        <v>1</v>
      </c>
      <c r="B11" s="11" t="s">
        <v>12</v>
      </c>
      <c r="C11" s="12" t="s">
        <v>42</v>
      </c>
      <c r="D11" s="12" t="s">
        <v>42</v>
      </c>
      <c r="E11" s="10" t="s">
        <v>26</v>
      </c>
      <c r="F11" s="9">
        <f>+(10208000+15000)*N$10+(10208000+15000)</f>
        <v>11900594.300000001</v>
      </c>
      <c r="G11" s="9">
        <f t="shared" ref="G11:G25" si="0">+F11*8%</f>
        <v>952047.54400000011</v>
      </c>
      <c r="H11" s="9"/>
      <c r="I11" s="9"/>
      <c r="J11" s="9">
        <f t="shared" ref="J11:J23" si="1">+F11+G11</f>
        <v>12852641.844000001</v>
      </c>
      <c r="K11" s="9">
        <f t="shared" ref="K11:K25" si="2">+J11*10%</f>
        <v>1285264.1844000001</v>
      </c>
      <c r="L11" s="9">
        <f t="shared" ref="L11:L25" si="3">+K11*19%</f>
        <v>244200.19503600002</v>
      </c>
      <c r="M11" s="9">
        <f>+(J11+L11)/30*14</f>
        <v>6111859.6182167996</v>
      </c>
    </row>
    <row r="12" spans="1:14" s="5" customFormat="1" x14ac:dyDescent="0.25">
      <c r="A12" s="8">
        <v>2</v>
      </c>
      <c r="B12" s="11" t="s">
        <v>13</v>
      </c>
      <c r="C12" s="12" t="s">
        <v>42</v>
      </c>
      <c r="D12" s="12" t="s">
        <v>42</v>
      </c>
      <c r="E12" s="10" t="s">
        <v>26</v>
      </c>
      <c r="F12" s="9">
        <f>+F11</f>
        <v>11900594.300000001</v>
      </c>
      <c r="G12" s="9">
        <f t="shared" si="0"/>
        <v>952047.54400000011</v>
      </c>
      <c r="H12" s="9"/>
      <c r="I12" s="9"/>
      <c r="J12" s="9">
        <f t="shared" si="1"/>
        <v>12852641.844000001</v>
      </c>
      <c r="K12" s="9">
        <f t="shared" si="2"/>
        <v>1285264.1844000001</v>
      </c>
      <c r="L12" s="9">
        <f t="shared" si="3"/>
        <v>244200.19503600002</v>
      </c>
      <c r="M12" s="9">
        <f t="shared" ref="M12:M25" si="4">+(J12+L12)/30*14</f>
        <v>6111859.6182167996</v>
      </c>
    </row>
    <row r="13" spans="1:14" s="5" customFormat="1" x14ac:dyDescent="0.25">
      <c r="A13" s="8">
        <v>3</v>
      </c>
      <c r="B13" s="11" t="s">
        <v>14</v>
      </c>
      <c r="C13" s="12" t="s">
        <v>42</v>
      </c>
      <c r="D13" s="12" t="s">
        <v>42</v>
      </c>
      <c r="E13" s="10" t="s">
        <v>27</v>
      </c>
      <c r="F13" s="9">
        <f>+(((F11*55.97%)/15)*12)</f>
        <v>5328610.1037680004</v>
      </c>
      <c r="G13" s="9">
        <f t="shared" si="0"/>
        <v>426288.80830144003</v>
      </c>
      <c r="H13" s="9"/>
      <c r="I13" s="9"/>
      <c r="J13" s="9">
        <f t="shared" si="1"/>
        <v>5754898.9120694408</v>
      </c>
      <c r="K13" s="9">
        <f t="shared" si="2"/>
        <v>575489.89120694413</v>
      </c>
      <c r="L13" s="9">
        <f t="shared" si="3"/>
        <v>109343.07932931939</v>
      </c>
      <c r="M13" s="9">
        <f t="shared" si="4"/>
        <v>2736646.2626527548</v>
      </c>
    </row>
    <row r="14" spans="1:14" s="5" customFormat="1" x14ac:dyDescent="0.25">
      <c r="A14" s="8">
        <v>4</v>
      </c>
      <c r="B14" s="11" t="s">
        <v>15</v>
      </c>
      <c r="C14" s="12" t="s">
        <v>42</v>
      </c>
      <c r="D14" s="12" t="s">
        <v>42</v>
      </c>
      <c r="E14" s="10" t="s">
        <v>26</v>
      </c>
      <c r="F14" s="9">
        <f>+F11</f>
        <v>11900594.300000001</v>
      </c>
      <c r="G14" s="9">
        <f t="shared" si="0"/>
        <v>952047.54400000011</v>
      </c>
      <c r="H14" s="9"/>
      <c r="I14" s="9"/>
      <c r="J14" s="9">
        <f t="shared" si="1"/>
        <v>12852641.844000001</v>
      </c>
      <c r="K14" s="9">
        <f t="shared" si="2"/>
        <v>1285264.1844000001</v>
      </c>
      <c r="L14" s="9">
        <f t="shared" si="3"/>
        <v>244200.19503600002</v>
      </c>
      <c r="M14" s="9">
        <f t="shared" si="4"/>
        <v>6111859.6182167996</v>
      </c>
    </row>
    <row r="15" spans="1:14" s="5" customFormat="1" x14ac:dyDescent="0.25">
      <c r="A15" s="8">
        <v>5</v>
      </c>
      <c r="B15" s="28" t="s">
        <v>16</v>
      </c>
      <c r="C15" s="29" t="s">
        <v>42</v>
      </c>
      <c r="D15" s="29" t="s">
        <v>42</v>
      </c>
      <c r="E15" s="30" t="s">
        <v>26</v>
      </c>
      <c r="F15" s="31">
        <f>+F11</f>
        <v>11900594.300000001</v>
      </c>
      <c r="G15" s="31">
        <f t="shared" si="0"/>
        <v>952047.54400000011</v>
      </c>
      <c r="H15" s="9"/>
      <c r="I15" s="9"/>
      <c r="J15" s="9">
        <f t="shared" si="1"/>
        <v>12852641.844000001</v>
      </c>
      <c r="K15" s="9">
        <f t="shared" si="2"/>
        <v>1285264.1844000001</v>
      </c>
      <c r="L15" s="9">
        <f t="shared" si="3"/>
        <v>244200.19503600002</v>
      </c>
      <c r="M15" s="9">
        <f t="shared" si="4"/>
        <v>6111859.6182167996</v>
      </c>
    </row>
    <row r="16" spans="1:14" s="5" customFormat="1" x14ac:dyDescent="0.25">
      <c r="A16" s="8">
        <v>6</v>
      </c>
      <c r="B16" s="28" t="s">
        <v>17</v>
      </c>
      <c r="C16" s="29" t="s">
        <v>42</v>
      </c>
      <c r="D16" s="29" t="s">
        <v>42</v>
      </c>
      <c r="E16" s="30" t="s">
        <v>26</v>
      </c>
      <c r="F16" s="31">
        <f>+F11</f>
        <v>11900594.300000001</v>
      </c>
      <c r="G16" s="31">
        <f t="shared" si="0"/>
        <v>952047.54400000011</v>
      </c>
      <c r="H16" s="9"/>
      <c r="I16" s="9"/>
      <c r="J16" s="9">
        <f t="shared" si="1"/>
        <v>12852641.844000001</v>
      </c>
      <c r="K16" s="9">
        <f t="shared" si="2"/>
        <v>1285264.1844000001</v>
      </c>
      <c r="L16" s="9">
        <f t="shared" si="3"/>
        <v>244200.19503600002</v>
      </c>
      <c r="M16" s="9">
        <f t="shared" si="4"/>
        <v>6111859.6182167996</v>
      </c>
    </row>
    <row r="17" spans="1:13" s="5" customFormat="1" x14ac:dyDescent="0.25">
      <c r="A17" s="8">
        <v>7</v>
      </c>
      <c r="B17" s="11" t="s">
        <v>18</v>
      </c>
      <c r="C17" s="12" t="s">
        <v>42</v>
      </c>
      <c r="D17" s="12" t="s">
        <v>42</v>
      </c>
      <c r="E17" s="10" t="s">
        <v>26</v>
      </c>
      <c r="F17" s="9">
        <f>+F11</f>
        <v>11900594.300000001</v>
      </c>
      <c r="G17" s="9">
        <f t="shared" si="0"/>
        <v>952047.54400000011</v>
      </c>
      <c r="H17" s="9"/>
      <c r="I17" s="9"/>
      <c r="J17" s="9">
        <f t="shared" si="1"/>
        <v>12852641.844000001</v>
      </c>
      <c r="K17" s="9">
        <f t="shared" si="2"/>
        <v>1285264.1844000001</v>
      </c>
      <c r="L17" s="9">
        <f t="shared" si="3"/>
        <v>244200.19503600002</v>
      </c>
      <c r="M17" s="9">
        <f t="shared" si="4"/>
        <v>6111859.6182167996</v>
      </c>
    </row>
    <row r="18" spans="1:13" s="5" customFormat="1" x14ac:dyDescent="0.25">
      <c r="A18" s="8">
        <v>8</v>
      </c>
      <c r="B18" s="28" t="s">
        <v>19</v>
      </c>
      <c r="C18" s="29" t="s">
        <v>42</v>
      </c>
      <c r="D18" s="29" t="s">
        <v>42</v>
      </c>
      <c r="E18" s="30" t="s">
        <v>26</v>
      </c>
      <c r="F18" s="31">
        <f>+F11</f>
        <v>11900594.300000001</v>
      </c>
      <c r="G18" s="31">
        <f t="shared" si="0"/>
        <v>952047.54400000011</v>
      </c>
      <c r="H18" s="31"/>
      <c r="I18" s="9"/>
      <c r="J18" s="9">
        <f t="shared" si="1"/>
        <v>12852641.844000001</v>
      </c>
      <c r="K18" s="9">
        <f t="shared" si="2"/>
        <v>1285264.1844000001</v>
      </c>
      <c r="L18" s="9">
        <f t="shared" si="3"/>
        <v>244200.19503600002</v>
      </c>
      <c r="M18" s="9">
        <f t="shared" si="4"/>
        <v>6111859.6182167996</v>
      </c>
    </row>
    <row r="19" spans="1:13" s="5" customFormat="1" x14ac:dyDescent="0.25">
      <c r="A19" s="8">
        <v>9</v>
      </c>
      <c r="B19" s="11" t="s">
        <v>20</v>
      </c>
      <c r="C19" s="12" t="s">
        <v>42</v>
      </c>
      <c r="D19" s="12" t="s">
        <v>42</v>
      </c>
      <c r="E19" s="10" t="s">
        <v>26</v>
      </c>
      <c r="F19" s="9">
        <f>+F11</f>
        <v>11900594.300000001</v>
      </c>
      <c r="G19" s="9">
        <f t="shared" si="0"/>
        <v>952047.54400000011</v>
      </c>
      <c r="H19" s="9"/>
      <c r="I19" s="9"/>
      <c r="J19" s="9">
        <f t="shared" si="1"/>
        <v>12852641.844000001</v>
      </c>
      <c r="K19" s="9">
        <f t="shared" si="2"/>
        <v>1285264.1844000001</v>
      </c>
      <c r="L19" s="9">
        <f t="shared" si="3"/>
        <v>244200.19503600002</v>
      </c>
      <c r="M19" s="9">
        <f t="shared" si="4"/>
        <v>6111859.6182167996</v>
      </c>
    </row>
    <row r="20" spans="1:13" s="5" customFormat="1" x14ac:dyDescent="0.25">
      <c r="A20" s="8">
        <v>10</v>
      </c>
      <c r="B20" s="11" t="s">
        <v>21</v>
      </c>
      <c r="C20" s="12" t="s">
        <v>42</v>
      </c>
      <c r="D20" s="12" t="s">
        <v>42</v>
      </c>
      <c r="E20" s="10" t="s">
        <v>26</v>
      </c>
      <c r="F20" s="9">
        <f>+F11</f>
        <v>11900594.300000001</v>
      </c>
      <c r="G20" s="9">
        <f t="shared" si="0"/>
        <v>952047.54400000011</v>
      </c>
      <c r="H20" s="9"/>
      <c r="I20" s="9"/>
      <c r="J20" s="9">
        <f t="shared" si="1"/>
        <v>12852641.844000001</v>
      </c>
      <c r="K20" s="9">
        <f t="shared" si="2"/>
        <v>1285264.1844000001</v>
      </c>
      <c r="L20" s="9">
        <f t="shared" si="3"/>
        <v>244200.19503600002</v>
      </c>
      <c r="M20" s="9">
        <f t="shared" si="4"/>
        <v>6111859.6182167996</v>
      </c>
    </row>
    <row r="21" spans="1:13" s="5" customFormat="1" x14ac:dyDescent="0.25">
      <c r="A21" s="8">
        <v>11</v>
      </c>
      <c r="B21" s="28" t="s">
        <v>22</v>
      </c>
      <c r="C21" s="29" t="s">
        <v>42</v>
      </c>
      <c r="D21" s="29" t="s">
        <v>42</v>
      </c>
      <c r="E21" s="30" t="s">
        <v>26</v>
      </c>
      <c r="F21" s="31">
        <f>+F11</f>
        <v>11900594.300000001</v>
      </c>
      <c r="G21" s="31">
        <f t="shared" si="0"/>
        <v>952047.54400000011</v>
      </c>
      <c r="H21" s="31"/>
      <c r="I21" s="9"/>
      <c r="J21" s="9">
        <f t="shared" si="1"/>
        <v>12852641.844000001</v>
      </c>
      <c r="K21" s="9">
        <f t="shared" si="2"/>
        <v>1285264.1844000001</v>
      </c>
      <c r="L21" s="9">
        <f t="shared" si="3"/>
        <v>244200.19503600002</v>
      </c>
      <c r="M21" s="9">
        <f t="shared" si="4"/>
        <v>6111859.6182167996</v>
      </c>
    </row>
    <row r="22" spans="1:13" s="5" customFormat="1" x14ac:dyDescent="0.25">
      <c r="A22" s="8">
        <v>12</v>
      </c>
      <c r="B22" s="11" t="s">
        <v>23</v>
      </c>
      <c r="C22" s="12" t="s">
        <v>42</v>
      </c>
      <c r="D22" s="12" t="s">
        <v>42</v>
      </c>
      <c r="E22" s="10" t="s">
        <v>26</v>
      </c>
      <c r="F22" s="9">
        <f>+F11</f>
        <v>11900594.300000001</v>
      </c>
      <c r="G22" s="9">
        <f t="shared" si="0"/>
        <v>952047.54400000011</v>
      </c>
      <c r="H22" s="9"/>
      <c r="I22" s="9"/>
      <c r="J22" s="9">
        <f t="shared" si="1"/>
        <v>12852641.844000001</v>
      </c>
      <c r="K22" s="9">
        <f t="shared" si="2"/>
        <v>1285264.1844000001</v>
      </c>
      <c r="L22" s="9">
        <f t="shared" si="3"/>
        <v>244200.19503600002</v>
      </c>
      <c r="M22" s="9">
        <f t="shared" si="4"/>
        <v>6111859.6182167996</v>
      </c>
    </row>
    <row r="23" spans="1:13" s="5" customFormat="1" x14ac:dyDescent="0.25">
      <c r="A23" s="8">
        <v>13</v>
      </c>
      <c r="B23" s="28" t="s">
        <v>24</v>
      </c>
      <c r="C23" s="29" t="s">
        <v>42</v>
      </c>
      <c r="D23" s="29" t="s">
        <v>42</v>
      </c>
      <c r="E23" s="30" t="s">
        <v>26</v>
      </c>
      <c r="F23" s="31">
        <f>+(10120000+15000)*N10+(10120000+15000)</f>
        <v>11798153.5</v>
      </c>
      <c r="G23" s="31">
        <f t="shared" si="0"/>
        <v>943852.28</v>
      </c>
      <c r="H23" s="9"/>
      <c r="I23" s="9"/>
      <c r="J23" s="9">
        <f t="shared" si="1"/>
        <v>12742005.779999999</v>
      </c>
      <c r="K23" s="9">
        <f t="shared" si="2"/>
        <v>1274200.578</v>
      </c>
      <c r="L23" s="9">
        <f t="shared" si="3"/>
        <v>242098.10982000001</v>
      </c>
      <c r="M23" s="9">
        <f t="shared" si="4"/>
        <v>6059248.4819160001</v>
      </c>
    </row>
    <row r="24" spans="1:13" s="5" customFormat="1" x14ac:dyDescent="0.25">
      <c r="A24" s="8">
        <v>14</v>
      </c>
      <c r="B24" s="11" t="s">
        <v>25</v>
      </c>
      <c r="C24" s="12" t="s">
        <v>42</v>
      </c>
      <c r="D24" s="12" t="s">
        <v>43</v>
      </c>
      <c r="E24" s="10" t="s">
        <v>26</v>
      </c>
      <c r="F24" s="9">
        <f>+F11</f>
        <v>11900594.300000001</v>
      </c>
      <c r="G24" s="9"/>
      <c r="H24" s="9">
        <f>+F24*10%</f>
        <v>1190059.4300000002</v>
      </c>
      <c r="I24" s="9"/>
      <c r="J24" s="9">
        <f>+F24+H24</f>
        <v>13090653.73</v>
      </c>
      <c r="K24" s="9">
        <f t="shared" si="2"/>
        <v>1309065.3730000001</v>
      </c>
      <c r="L24" s="9">
        <f t="shared" si="3"/>
        <v>248722.42087000003</v>
      </c>
      <c r="M24" s="9">
        <f t="shared" si="4"/>
        <v>6225042.2037393339</v>
      </c>
    </row>
    <row r="25" spans="1:13" s="5" customFormat="1" x14ac:dyDescent="0.25">
      <c r="A25" s="8">
        <v>15</v>
      </c>
      <c r="B25" s="11" t="s">
        <v>52</v>
      </c>
      <c r="C25" s="12" t="s">
        <v>42</v>
      </c>
      <c r="D25" s="12" t="s">
        <v>42</v>
      </c>
      <c r="E25" s="10" t="s">
        <v>27</v>
      </c>
      <c r="F25" s="9">
        <f>+(4088976+10000)+N10+(4088976+10000)</f>
        <v>8197952.1641000006</v>
      </c>
      <c r="G25" s="9">
        <f t="shared" si="0"/>
        <v>655836.17312800011</v>
      </c>
      <c r="H25" s="9"/>
      <c r="I25" s="9"/>
      <c r="J25" s="9">
        <f>+F25+G25</f>
        <v>8853788.3372280002</v>
      </c>
      <c r="K25" s="9">
        <f t="shared" si="2"/>
        <v>885378.83372280002</v>
      </c>
      <c r="L25" s="9">
        <f t="shared" si="3"/>
        <v>168221.978407332</v>
      </c>
      <c r="M25" s="9">
        <f t="shared" si="4"/>
        <v>4210271.4806298222</v>
      </c>
    </row>
    <row r="26" spans="1:13" s="5" customFormat="1" ht="15" customHeight="1" x14ac:dyDescent="0.25">
      <c r="A26" s="73" t="s">
        <v>31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5"/>
      <c r="M26" s="9">
        <f>SUM(M11:M25)</f>
        <v>86461664.229322687</v>
      </c>
    </row>
    <row r="27" spans="1:13" s="5" customFormat="1" ht="21" customHeight="1" x14ac:dyDescent="0.25">
      <c r="A27" s="70" t="s">
        <v>4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</row>
    <row r="28" spans="1:13" s="5" customFormat="1" ht="15" customHeight="1" x14ac:dyDescent="0.25">
      <c r="A28" s="8">
        <v>1</v>
      </c>
      <c r="B28" s="11" t="s">
        <v>46</v>
      </c>
      <c r="C28" s="12" t="s">
        <v>42</v>
      </c>
      <c r="D28" s="12" t="s">
        <v>42</v>
      </c>
      <c r="E28" s="12" t="s">
        <v>26</v>
      </c>
      <c r="F28" s="9">
        <f>+F11</f>
        <v>11900594.300000001</v>
      </c>
      <c r="G28" s="9">
        <f>+F28*8%</f>
        <v>952047.54400000011</v>
      </c>
      <c r="H28" s="9"/>
      <c r="I28" s="9"/>
      <c r="J28" s="9">
        <f>+F28+G28</f>
        <v>12852641.844000001</v>
      </c>
      <c r="K28" s="9">
        <f t="shared" ref="K28:K35" si="5">+J28*10%</f>
        <v>1285264.1844000001</v>
      </c>
      <c r="L28" s="9">
        <f t="shared" ref="L28:L35" si="6">+K28*19%</f>
        <v>244200.19503600002</v>
      </c>
      <c r="M28" s="9">
        <f>+(J28+L28)/30*14</f>
        <v>6111859.6182167996</v>
      </c>
    </row>
    <row r="29" spans="1:13" x14ac:dyDescent="0.25">
      <c r="A29" s="32">
        <v>2</v>
      </c>
      <c r="B29" s="28" t="s">
        <v>47</v>
      </c>
      <c r="C29" s="29" t="s">
        <v>42</v>
      </c>
      <c r="D29" s="29" t="s">
        <v>42</v>
      </c>
      <c r="E29" s="30" t="s">
        <v>27</v>
      </c>
      <c r="F29" s="9">
        <f>+(4925360+20000)*N10+(4925360+20000)</f>
        <v>5756893.5760000004</v>
      </c>
      <c r="G29" s="9">
        <f>+F29*8%</f>
        <v>460551.48608000006</v>
      </c>
      <c r="H29" s="9"/>
      <c r="I29" s="9"/>
      <c r="J29" s="9">
        <f>+F29+G29</f>
        <v>6217445.0620800005</v>
      </c>
      <c r="K29" s="9">
        <f t="shared" si="5"/>
        <v>621744.50620800012</v>
      </c>
      <c r="L29" s="9">
        <f t="shared" si="6"/>
        <v>118131.45617952003</v>
      </c>
      <c r="M29" s="9">
        <f t="shared" ref="M29:M35" si="7">+(J29+L29)/30*14</f>
        <v>2956602.3751877761</v>
      </c>
    </row>
    <row r="30" spans="1:13" x14ac:dyDescent="0.25">
      <c r="A30" s="8">
        <v>3</v>
      </c>
      <c r="B30" s="11" t="s">
        <v>48</v>
      </c>
      <c r="C30" s="12" t="s">
        <v>42</v>
      </c>
      <c r="D30" s="12" t="s">
        <v>42</v>
      </c>
      <c r="E30" s="12" t="s">
        <v>26</v>
      </c>
      <c r="F30" s="9">
        <f>+F11</f>
        <v>11900594.300000001</v>
      </c>
      <c r="G30" s="9">
        <f>+F30*8%</f>
        <v>952047.54400000011</v>
      </c>
      <c r="H30" s="9"/>
      <c r="I30" s="9"/>
      <c r="J30" s="9">
        <f>+F30+G30</f>
        <v>12852641.844000001</v>
      </c>
      <c r="K30" s="9">
        <f t="shared" si="5"/>
        <v>1285264.1844000001</v>
      </c>
      <c r="L30" s="9">
        <f t="shared" si="6"/>
        <v>244200.19503600002</v>
      </c>
      <c r="M30" s="9">
        <f t="shared" si="7"/>
        <v>6111859.6182167996</v>
      </c>
    </row>
    <row r="31" spans="1:13" x14ac:dyDescent="0.25">
      <c r="A31" s="32">
        <v>4</v>
      </c>
      <c r="B31" s="28" t="s">
        <v>49</v>
      </c>
      <c r="C31" s="29" t="s">
        <v>42</v>
      </c>
      <c r="D31" s="29" t="s">
        <v>42</v>
      </c>
      <c r="E31" s="29" t="s">
        <v>26</v>
      </c>
      <c r="F31" s="31">
        <f>+F11</f>
        <v>11900594.300000001</v>
      </c>
      <c r="G31" s="31">
        <f>+F31*8%</f>
        <v>952047.54400000011</v>
      </c>
      <c r="H31" s="9"/>
      <c r="I31" s="9"/>
      <c r="J31" s="9">
        <f>+F31+G31</f>
        <v>12852641.844000001</v>
      </c>
      <c r="K31" s="9">
        <f t="shared" si="5"/>
        <v>1285264.1844000001</v>
      </c>
      <c r="L31" s="9">
        <f t="shared" si="6"/>
        <v>244200.19503600002</v>
      </c>
      <c r="M31" s="9">
        <f t="shared" si="7"/>
        <v>6111859.6182167996</v>
      </c>
    </row>
    <row r="32" spans="1:13" x14ac:dyDescent="0.25">
      <c r="A32" s="8">
        <v>5</v>
      </c>
      <c r="B32" s="11" t="s">
        <v>50</v>
      </c>
      <c r="C32" s="12" t="s">
        <v>42</v>
      </c>
      <c r="D32" s="12" t="s">
        <v>42</v>
      </c>
      <c r="E32" s="12" t="s">
        <v>68</v>
      </c>
      <c r="F32" s="9">
        <f>+F11</f>
        <v>11900594.300000001</v>
      </c>
      <c r="G32" s="9">
        <f>+F32*8%</f>
        <v>952047.54400000011</v>
      </c>
      <c r="H32" s="9"/>
      <c r="I32" s="9"/>
      <c r="J32" s="9">
        <f>+F32+G32</f>
        <v>12852641.844000001</v>
      </c>
      <c r="K32" s="9">
        <f t="shared" si="5"/>
        <v>1285264.1844000001</v>
      </c>
      <c r="L32" s="9">
        <f t="shared" si="6"/>
        <v>244200.19503600002</v>
      </c>
      <c r="M32" s="9">
        <f t="shared" si="7"/>
        <v>6111859.6182167996</v>
      </c>
    </row>
    <row r="33" spans="1:16" x14ac:dyDescent="0.25">
      <c r="A33" s="32">
        <v>6</v>
      </c>
      <c r="B33" s="28" t="s">
        <v>51</v>
      </c>
      <c r="C33" s="29" t="s">
        <v>43</v>
      </c>
      <c r="D33" s="29" t="s">
        <v>42</v>
      </c>
      <c r="E33" s="29" t="s">
        <v>26</v>
      </c>
      <c r="F33" s="31">
        <f>+F11</f>
        <v>11900594.300000001</v>
      </c>
      <c r="G33" s="31"/>
      <c r="H33" s="31"/>
      <c r="I33" s="31">
        <f>+F33*11%</f>
        <v>1309065.3730000001</v>
      </c>
      <c r="J33" s="9">
        <f>+F33+I33</f>
        <v>13209659.673</v>
      </c>
      <c r="K33" s="9">
        <f t="shared" si="5"/>
        <v>1320965.9673000001</v>
      </c>
      <c r="L33" s="9">
        <f t="shared" si="6"/>
        <v>250983.53378700002</v>
      </c>
      <c r="M33" s="9">
        <f t="shared" si="7"/>
        <v>6281633.4965006001</v>
      </c>
    </row>
    <row r="34" spans="1:16" x14ac:dyDescent="0.25">
      <c r="A34" s="18">
        <v>7</v>
      </c>
      <c r="B34" s="11" t="s">
        <v>25</v>
      </c>
      <c r="C34" s="12" t="s">
        <v>42</v>
      </c>
      <c r="D34" s="12" t="s">
        <v>43</v>
      </c>
      <c r="E34" s="12" t="s">
        <v>26</v>
      </c>
      <c r="F34" s="9">
        <f>+F11</f>
        <v>11900594.300000001</v>
      </c>
      <c r="G34" s="9"/>
      <c r="H34" s="9">
        <f>+F34*10%</f>
        <v>1190059.4300000002</v>
      </c>
      <c r="I34" s="9"/>
      <c r="J34" s="9">
        <f>+F34+H34</f>
        <v>13090653.73</v>
      </c>
      <c r="K34" s="9">
        <f t="shared" si="5"/>
        <v>1309065.3730000001</v>
      </c>
      <c r="L34" s="9">
        <f t="shared" si="6"/>
        <v>248722.42087000003</v>
      </c>
      <c r="M34" s="9">
        <f t="shared" si="7"/>
        <v>6225042.2037393339</v>
      </c>
    </row>
    <row r="35" spans="1:16" x14ac:dyDescent="0.25">
      <c r="A35" s="18">
        <v>8</v>
      </c>
      <c r="B35" s="28" t="s">
        <v>67</v>
      </c>
      <c r="C35" s="29" t="s">
        <v>42</v>
      </c>
      <c r="D35" s="29" t="s">
        <v>42</v>
      </c>
      <c r="E35" s="29" t="s">
        <v>27</v>
      </c>
      <c r="F35" s="31">
        <f>+F25</f>
        <v>8197952.1641000006</v>
      </c>
      <c r="G35" s="31">
        <f>+F35*8%</f>
        <v>655836.17312800011</v>
      </c>
      <c r="H35" s="9"/>
      <c r="I35" s="9"/>
      <c r="J35" s="9">
        <f t="shared" ref="J35" si="8">+F35+G35</f>
        <v>8853788.3372280002</v>
      </c>
      <c r="K35" s="9">
        <f t="shared" si="5"/>
        <v>885378.83372280002</v>
      </c>
      <c r="L35" s="9">
        <f t="shared" si="6"/>
        <v>168221.978407332</v>
      </c>
      <c r="M35" s="9">
        <f t="shared" si="7"/>
        <v>4210271.4806298222</v>
      </c>
    </row>
    <row r="36" spans="1:16" x14ac:dyDescent="0.25">
      <c r="A36" s="73" t="s">
        <v>32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5"/>
      <c r="M36" s="14">
        <f>SUM(M28:M35)</f>
        <v>44120988.028924726</v>
      </c>
    </row>
    <row r="37" spans="1:16" ht="21" customHeight="1" x14ac:dyDescent="0.25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  <c r="M37" s="25"/>
      <c r="N37" s="27">
        <f>M26+M36</f>
        <v>130582652.25824741</v>
      </c>
      <c r="O37" s="23">
        <f>+N37+'PROPUESTA INCREMENTO2023'!N42</f>
        <v>234401688.80406904</v>
      </c>
    </row>
    <row r="38" spans="1:16" ht="21" customHeight="1" x14ac:dyDescent="0.25">
      <c r="A38" s="77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9"/>
      <c r="M38" s="17"/>
    </row>
    <row r="39" spans="1:16" ht="21" customHeight="1" x14ac:dyDescent="0.25">
      <c r="A39" s="77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9"/>
      <c r="M39" s="17"/>
    </row>
    <row r="42" spans="1:16" x14ac:dyDescent="0.25">
      <c r="M42" s="20"/>
      <c r="N42" s="20"/>
      <c r="O42" s="20"/>
      <c r="P42" s="20"/>
    </row>
    <row r="43" spans="1:16" x14ac:dyDescent="0.25">
      <c r="M43" s="20"/>
      <c r="N43" s="21"/>
      <c r="O43" s="20"/>
      <c r="P43" s="20"/>
    </row>
    <row r="44" spans="1:16" x14ac:dyDescent="0.25">
      <c r="A44" s="19"/>
      <c r="B44" s="19"/>
      <c r="M44" s="20"/>
      <c r="N44" s="20"/>
      <c r="O44" s="20"/>
      <c r="P44" s="20"/>
    </row>
    <row r="45" spans="1:16" x14ac:dyDescent="0.25">
      <c r="A45" s="80" t="s">
        <v>58</v>
      </c>
      <c r="B45" s="80"/>
      <c r="M45" s="20"/>
      <c r="N45" s="20"/>
      <c r="O45" s="20"/>
      <c r="P45" s="20"/>
    </row>
    <row r="46" spans="1:16" x14ac:dyDescent="0.25">
      <c r="A46" s="76" t="s">
        <v>59</v>
      </c>
      <c r="B46" s="76"/>
      <c r="M46" s="20"/>
      <c r="N46" s="20"/>
      <c r="O46" s="20"/>
      <c r="P46" s="20"/>
    </row>
    <row r="47" spans="1:16" x14ac:dyDescent="0.25">
      <c r="A47" s="76" t="s">
        <v>60</v>
      </c>
      <c r="B47" s="76"/>
      <c r="M47" s="20"/>
      <c r="N47" s="20"/>
      <c r="O47" s="20"/>
      <c r="P47" s="20"/>
    </row>
    <row r="48" spans="1:16" x14ac:dyDescent="0.25">
      <c r="M48" s="20"/>
      <c r="N48" s="20"/>
      <c r="O48" s="20"/>
      <c r="P48" s="20"/>
    </row>
    <row r="49" spans="1:16" x14ac:dyDescent="0.25">
      <c r="M49" s="20"/>
      <c r="N49" s="20"/>
      <c r="O49" s="20"/>
      <c r="P49" s="20"/>
    </row>
    <row r="50" spans="1:16" x14ac:dyDescent="0.25">
      <c r="M50" s="20"/>
      <c r="N50" s="20"/>
      <c r="O50" s="20"/>
      <c r="P50" s="20"/>
    </row>
    <row r="51" spans="1:16" x14ac:dyDescent="0.25">
      <c r="A51" s="4"/>
      <c r="M51" s="20"/>
      <c r="N51" s="20"/>
      <c r="O51" s="20"/>
      <c r="P51" s="20"/>
    </row>
  </sheetData>
  <mergeCells count="13">
    <mergeCell ref="A27:M27"/>
    <mergeCell ref="A7:M7"/>
    <mergeCell ref="A8:E8"/>
    <mergeCell ref="F8:M8"/>
    <mergeCell ref="A10:M10"/>
    <mergeCell ref="A26:L26"/>
    <mergeCell ref="A47:B47"/>
    <mergeCell ref="A36:L36"/>
    <mergeCell ref="A37:L37"/>
    <mergeCell ref="A38:L38"/>
    <mergeCell ref="A39:L39"/>
    <mergeCell ref="A45:B45"/>
    <mergeCell ref="A46:B46"/>
  </mergeCells>
  <printOptions horizontalCentered="1" verticalCentered="1"/>
  <pageMargins left="0.23622047244094499" right="0.23622047244094499" top="0.143700787" bottom="0.39370078740157499" header="0.31496062992126" footer="0.31496062992126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6"/>
  <sheetViews>
    <sheetView tabSelected="1" zoomScaleNormal="100" workbookViewId="0">
      <selection activeCell="D23" sqref="D23"/>
    </sheetView>
  </sheetViews>
  <sheetFormatPr baseColWidth="10" defaultColWidth="10.85546875" defaultRowHeight="15" x14ac:dyDescent="0.25"/>
  <cols>
    <col min="1" max="1" width="6.5703125" customWidth="1"/>
    <col min="2" max="2" width="48.42578125" customWidth="1"/>
    <col min="3" max="3" width="8.7109375" customWidth="1"/>
    <col min="4" max="4" width="7.85546875" customWidth="1"/>
    <col min="5" max="5" width="12.28515625" customWidth="1"/>
    <col min="6" max="6" width="9.85546875" customWidth="1"/>
    <col min="7" max="7" width="12" customWidth="1"/>
    <col min="8" max="8" width="12.5703125" customWidth="1"/>
    <col min="9" max="9" width="12.28515625" customWidth="1"/>
    <col min="10" max="10" width="13.7109375" customWidth="1"/>
    <col min="11" max="11" width="10.5703125" customWidth="1"/>
    <col min="12" max="12" width="19.42578125" customWidth="1"/>
    <col min="13" max="13" width="11" style="38" customWidth="1"/>
    <col min="14" max="14" width="11" style="5" customWidth="1"/>
    <col min="15" max="27" width="11" customWidth="1"/>
  </cols>
  <sheetData>
    <row r="1" spans="1:14" s="60" customFormat="1" x14ac:dyDescent="0.25">
      <c r="B1" s="82" t="s">
        <v>79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67"/>
      <c r="N1" s="5"/>
    </row>
    <row r="2" spans="1:14" s="60" customFormat="1" x14ac:dyDescent="0.2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5"/>
    </row>
    <row r="3" spans="1:14" s="60" customFormat="1" x14ac:dyDescent="0.25">
      <c r="B3" s="16" t="s">
        <v>36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5"/>
    </row>
    <row r="4" spans="1:14" s="60" customFormat="1" x14ac:dyDescent="0.25">
      <c r="B4" s="15" t="s">
        <v>75</v>
      </c>
      <c r="C4" s="15"/>
      <c r="D4" s="15"/>
      <c r="E4" s="16"/>
      <c r="F4" s="16"/>
      <c r="G4" s="16"/>
      <c r="H4" s="16"/>
      <c r="I4" s="16"/>
      <c r="J4" s="16"/>
      <c r="K4" s="16"/>
      <c r="L4" s="16"/>
      <c r="M4" s="16"/>
      <c r="N4" s="5"/>
    </row>
    <row r="5" spans="1:14" s="60" customFormat="1" x14ac:dyDescent="0.25">
      <c r="B5" s="16" t="s">
        <v>74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5"/>
    </row>
    <row r="6" spans="1:14" s="60" customFormat="1" x14ac:dyDescent="0.25">
      <c r="B6" s="16" t="s">
        <v>39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5"/>
    </row>
    <row r="7" spans="1:14" s="60" customFormat="1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5"/>
    </row>
    <row r="8" spans="1:14" s="60" customFormat="1" ht="14.45" customHeight="1" x14ac:dyDescent="0.25">
      <c r="B8" s="81" t="s">
        <v>80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62"/>
      <c r="N8" s="5"/>
    </row>
    <row r="9" spans="1:14" s="60" customFormat="1" x14ac:dyDescent="0.25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38"/>
      <c r="N9" s="5"/>
    </row>
    <row r="10" spans="1:14" s="60" customFormat="1" x14ac:dyDescent="0.25"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38"/>
      <c r="N10" s="5"/>
    </row>
    <row r="11" spans="1:14" s="60" customFormat="1" x14ac:dyDescent="0.25">
      <c r="M11" s="38"/>
      <c r="N11" s="5"/>
    </row>
    <row r="12" spans="1:14" x14ac:dyDescent="0.2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36"/>
    </row>
    <row r="13" spans="1:14" x14ac:dyDescent="0.25">
      <c r="A13" s="85" t="s">
        <v>73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</row>
    <row r="14" spans="1:14" s="5" customFormat="1" x14ac:dyDescent="0.25">
      <c r="A1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20"/>
      <c r="M14" s="39">
        <v>1160000</v>
      </c>
    </row>
    <row r="15" spans="1:14" s="5" customFormat="1" x14ac:dyDescent="0.25">
      <c r="A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39"/>
    </row>
    <row r="16" spans="1:14" s="5" customFormat="1" ht="19.5" x14ac:dyDescent="0.3">
      <c r="A16" s="72" t="s">
        <v>8</v>
      </c>
      <c r="B16" s="72"/>
      <c r="C16" s="72"/>
      <c r="D16" s="72"/>
      <c r="E16" s="72" t="s">
        <v>9</v>
      </c>
      <c r="F16" s="72"/>
      <c r="G16" s="72"/>
      <c r="H16" s="72"/>
      <c r="I16" s="72"/>
      <c r="J16" s="72"/>
      <c r="K16" s="72"/>
      <c r="L16" s="72"/>
      <c r="M16" s="39"/>
    </row>
    <row r="17" spans="1:20" s="5" customFormat="1" ht="48" x14ac:dyDescent="0.25">
      <c r="A17" s="1" t="s">
        <v>0</v>
      </c>
      <c r="B17" s="1" t="s">
        <v>10</v>
      </c>
      <c r="C17" s="1" t="s">
        <v>40</v>
      </c>
      <c r="D17" s="7" t="s">
        <v>1</v>
      </c>
      <c r="E17" s="2" t="s">
        <v>5</v>
      </c>
      <c r="F17" s="2" t="s">
        <v>2</v>
      </c>
      <c r="G17" s="2" t="s">
        <v>6</v>
      </c>
      <c r="H17" s="2" t="s">
        <v>29</v>
      </c>
      <c r="I17" s="2" t="s">
        <v>28</v>
      </c>
      <c r="J17" s="2" t="s">
        <v>44</v>
      </c>
      <c r="K17" s="3" t="s">
        <v>7</v>
      </c>
      <c r="L17" s="3" t="s">
        <v>69</v>
      </c>
      <c r="M17" s="39"/>
    </row>
    <row r="18" spans="1:20" s="5" customFormat="1" x14ac:dyDescent="0.25">
      <c r="A18" s="70" t="s">
        <v>3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39"/>
    </row>
    <row r="19" spans="1:20" s="5" customFormat="1" x14ac:dyDescent="0.25">
      <c r="A19" s="8">
        <v>1</v>
      </c>
      <c r="B19" s="11" t="s">
        <v>12</v>
      </c>
      <c r="C19" s="12" t="s">
        <v>42</v>
      </c>
      <c r="D19" s="10" t="s">
        <v>26</v>
      </c>
      <c r="E19" s="9">
        <v>0</v>
      </c>
      <c r="F19" s="9">
        <f t="shared" ref="F19:F30" si="0">+E19*8%</f>
        <v>0</v>
      </c>
      <c r="G19" s="9"/>
      <c r="H19" s="9"/>
      <c r="I19" s="9">
        <f t="shared" ref="I19:I28" si="1">+E19+F19</f>
        <v>0</v>
      </c>
      <c r="J19" s="9">
        <f>+I19*10%</f>
        <v>0</v>
      </c>
      <c r="K19" s="9">
        <f>+J19*19%</f>
        <v>0</v>
      </c>
      <c r="L19" s="65">
        <f t="shared" ref="L19:L30" si="2">+I19+K19</f>
        <v>0</v>
      </c>
      <c r="M19" s="38"/>
    </row>
    <row r="20" spans="1:20" s="5" customFormat="1" x14ac:dyDescent="0.25">
      <c r="A20" s="8">
        <v>2</v>
      </c>
      <c r="B20" s="11" t="s">
        <v>13</v>
      </c>
      <c r="C20" s="12" t="s">
        <v>42</v>
      </c>
      <c r="D20" s="10" t="s">
        <v>26</v>
      </c>
      <c r="E20" s="9">
        <v>0</v>
      </c>
      <c r="F20" s="9">
        <f t="shared" si="0"/>
        <v>0</v>
      </c>
      <c r="G20" s="9"/>
      <c r="H20" s="9"/>
      <c r="I20" s="9">
        <f t="shared" si="1"/>
        <v>0</v>
      </c>
      <c r="J20" s="9">
        <f t="shared" ref="J20:J30" si="3">+I20*10%</f>
        <v>0</v>
      </c>
      <c r="K20" s="9">
        <f t="shared" ref="K20:K30" si="4">+J20*19%</f>
        <v>0</v>
      </c>
      <c r="L20" s="65">
        <f t="shared" si="2"/>
        <v>0</v>
      </c>
      <c r="M20" s="38"/>
      <c r="Q20" s="54"/>
    </row>
    <row r="21" spans="1:20" s="5" customFormat="1" x14ac:dyDescent="0.25">
      <c r="A21" s="8">
        <v>3</v>
      </c>
      <c r="B21" s="11" t="s">
        <v>81</v>
      </c>
      <c r="C21" s="12" t="s">
        <v>42</v>
      </c>
      <c r="D21" s="10" t="s">
        <v>27</v>
      </c>
      <c r="E21" s="9">
        <v>0</v>
      </c>
      <c r="F21" s="9">
        <f t="shared" si="0"/>
        <v>0</v>
      </c>
      <c r="G21" s="9"/>
      <c r="H21" s="9"/>
      <c r="I21" s="9">
        <f t="shared" si="1"/>
        <v>0</v>
      </c>
      <c r="J21" s="9">
        <f t="shared" si="3"/>
        <v>0</v>
      </c>
      <c r="K21" s="9">
        <f t="shared" si="4"/>
        <v>0</v>
      </c>
      <c r="L21" s="65">
        <f t="shared" si="2"/>
        <v>0</v>
      </c>
      <c r="M21" s="40"/>
      <c r="Q21" s="54"/>
    </row>
    <row r="22" spans="1:20" s="5" customFormat="1" x14ac:dyDescent="0.25">
      <c r="A22" s="8">
        <v>4</v>
      </c>
      <c r="B22" s="43" t="s">
        <v>15</v>
      </c>
      <c r="C22" s="44" t="s">
        <v>42</v>
      </c>
      <c r="D22" s="45" t="s">
        <v>26</v>
      </c>
      <c r="E22" s="9">
        <v>0</v>
      </c>
      <c r="F22" s="9">
        <f t="shared" si="0"/>
        <v>0</v>
      </c>
      <c r="G22" s="9"/>
      <c r="H22" s="9"/>
      <c r="I22" s="9">
        <f t="shared" si="1"/>
        <v>0</v>
      </c>
      <c r="J22" s="9">
        <f t="shared" si="3"/>
        <v>0</v>
      </c>
      <c r="K22" s="9">
        <f t="shared" si="4"/>
        <v>0</v>
      </c>
      <c r="L22" s="65">
        <f t="shared" si="2"/>
        <v>0</v>
      </c>
      <c r="M22" s="42"/>
      <c r="N22" s="46"/>
      <c r="Q22" s="54"/>
    </row>
    <row r="23" spans="1:20" s="5" customFormat="1" x14ac:dyDescent="0.25">
      <c r="A23" s="8">
        <v>5</v>
      </c>
      <c r="B23" s="43" t="s">
        <v>71</v>
      </c>
      <c r="C23" s="44" t="s">
        <v>42</v>
      </c>
      <c r="D23" s="45" t="s">
        <v>26</v>
      </c>
      <c r="E23" s="9">
        <v>0</v>
      </c>
      <c r="F23" s="9">
        <f t="shared" si="0"/>
        <v>0</v>
      </c>
      <c r="G23" s="9"/>
      <c r="H23" s="9"/>
      <c r="I23" s="9">
        <f t="shared" si="1"/>
        <v>0</v>
      </c>
      <c r="J23" s="9">
        <f t="shared" si="3"/>
        <v>0</v>
      </c>
      <c r="K23" s="9">
        <f t="shared" si="4"/>
        <v>0</v>
      </c>
      <c r="L23" s="65">
        <f t="shared" si="2"/>
        <v>0</v>
      </c>
      <c r="M23" s="42"/>
      <c r="N23" s="46"/>
      <c r="Q23" s="55"/>
      <c r="S23" s="46"/>
    </row>
    <row r="24" spans="1:20" s="5" customFormat="1" x14ac:dyDescent="0.25">
      <c r="A24" s="8">
        <v>6</v>
      </c>
      <c r="B24" s="11" t="s">
        <v>18</v>
      </c>
      <c r="C24" s="12" t="s">
        <v>42</v>
      </c>
      <c r="D24" s="10" t="s">
        <v>26</v>
      </c>
      <c r="E24" s="9">
        <v>0</v>
      </c>
      <c r="F24" s="9">
        <f t="shared" si="0"/>
        <v>0</v>
      </c>
      <c r="G24" s="9"/>
      <c r="H24" s="9"/>
      <c r="I24" s="9">
        <f t="shared" si="1"/>
        <v>0</v>
      </c>
      <c r="J24" s="9">
        <f t="shared" si="3"/>
        <v>0</v>
      </c>
      <c r="K24" s="9">
        <f t="shared" si="4"/>
        <v>0</v>
      </c>
      <c r="L24" s="65">
        <f t="shared" si="2"/>
        <v>0</v>
      </c>
      <c r="M24" s="42"/>
      <c r="N24" s="46"/>
      <c r="Q24" s="55"/>
      <c r="S24" s="46"/>
      <c r="T24" s="49"/>
    </row>
    <row r="25" spans="1:20" s="5" customFormat="1" x14ac:dyDescent="0.25">
      <c r="A25" s="8">
        <v>7</v>
      </c>
      <c r="B25" s="43" t="s">
        <v>19</v>
      </c>
      <c r="C25" s="44" t="s">
        <v>42</v>
      </c>
      <c r="D25" s="45" t="s">
        <v>26</v>
      </c>
      <c r="E25" s="9">
        <v>0</v>
      </c>
      <c r="F25" s="9">
        <f t="shared" si="0"/>
        <v>0</v>
      </c>
      <c r="G25" s="9"/>
      <c r="H25" s="9"/>
      <c r="I25" s="9">
        <f t="shared" si="1"/>
        <v>0</v>
      </c>
      <c r="J25" s="9">
        <f t="shared" si="3"/>
        <v>0</v>
      </c>
      <c r="K25" s="9">
        <f t="shared" si="4"/>
        <v>0</v>
      </c>
      <c r="L25" s="65">
        <f t="shared" si="2"/>
        <v>0</v>
      </c>
      <c r="M25" s="42"/>
      <c r="N25" s="46"/>
      <c r="Q25" s="55"/>
      <c r="S25" s="46"/>
    </row>
    <row r="26" spans="1:20" s="5" customFormat="1" x14ac:dyDescent="0.25">
      <c r="A26" s="8">
        <v>8</v>
      </c>
      <c r="B26" s="11" t="s">
        <v>72</v>
      </c>
      <c r="C26" s="12" t="s">
        <v>42</v>
      </c>
      <c r="D26" s="10" t="s">
        <v>26</v>
      </c>
      <c r="E26" s="9">
        <v>0</v>
      </c>
      <c r="F26" s="9">
        <f t="shared" si="0"/>
        <v>0</v>
      </c>
      <c r="G26" s="9"/>
      <c r="H26" s="9"/>
      <c r="I26" s="9">
        <f t="shared" si="1"/>
        <v>0</v>
      </c>
      <c r="J26" s="9">
        <f t="shared" si="3"/>
        <v>0</v>
      </c>
      <c r="K26" s="9">
        <f t="shared" si="4"/>
        <v>0</v>
      </c>
      <c r="L26" s="65">
        <f t="shared" si="2"/>
        <v>0</v>
      </c>
      <c r="M26" s="42"/>
      <c r="N26" s="46"/>
      <c r="Q26" s="55"/>
      <c r="S26" s="46"/>
    </row>
    <row r="27" spans="1:20" s="5" customFormat="1" x14ac:dyDescent="0.25">
      <c r="A27" s="8">
        <v>9</v>
      </c>
      <c r="B27" s="11" t="s">
        <v>21</v>
      </c>
      <c r="C27" s="12" t="s">
        <v>42</v>
      </c>
      <c r="D27" s="10" t="s">
        <v>26</v>
      </c>
      <c r="E27" s="9">
        <v>0</v>
      </c>
      <c r="F27" s="9">
        <f t="shared" si="0"/>
        <v>0</v>
      </c>
      <c r="G27" s="9"/>
      <c r="H27" s="9"/>
      <c r="I27" s="9">
        <f t="shared" si="1"/>
        <v>0</v>
      </c>
      <c r="J27" s="9">
        <f t="shared" si="3"/>
        <v>0</v>
      </c>
      <c r="K27" s="9">
        <f t="shared" si="4"/>
        <v>0</v>
      </c>
      <c r="L27" s="65">
        <f t="shared" si="2"/>
        <v>0</v>
      </c>
      <c r="M27" s="42"/>
      <c r="N27" s="46"/>
      <c r="Q27" s="54"/>
      <c r="S27" s="46"/>
    </row>
    <row r="28" spans="1:20" s="5" customFormat="1" x14ac:dyDescent="0.25">
      <c r="A28" s="8">
        <v>10</v>
      </c>
      <c r="B28" s="11" t="s">
        <v>23</v>
      </c>
      <c r="C28" s="12" t="s">
        <v>42</v>
      </c>
      <c r="D28" s="10" t="s">
        <v>26</v>
      </c>
      <c r="E28" s="9">
        <v>0</v>
      </c>
      <c r="F28" s="9">
        <f t="shared" si="0"/>
        <v>0</v>
      </c>
      <c r="G28" s="9"/>
      <c r="H28" s="9"/>
      <c r="I28" s="9">
        <f t="shared" si="1"/>
        <v>0</v>
      </c>
      <c r="J28" s="9">
        <f t="shared" si="3"/>
        <v>0</v>
      </c>
      <c r="K28" s="9">
        <f t="shared" si="4"/>
        <v>0</v>
      </c>
      <c r="L28" s="65">
        <f t="shared" si="2"/>
        <v>0</v>
      </c>
      <c r="M28" s="42"/>
      <c r="N28" s="46"/>
      <c r="O28" s="63"/>
      <c r="P28" s="63"/>
      <c r="Q28" s="63"/>
      <c r="R28" s="63"/>
      <c r="S28" s="63"/>
    </row>
    <row r="29" spans="1:20" s="5" customFormat="1" x14ac:dyDescent="0.25">
      <c r="A29" s="8">
        <v>11</v>
      </c>
      <c r="B29" s="11" t="s">
        <v>25</v>
      </c>
      <c r="C29" s="12" t="s">
        <v>43</v>
      </c>
      <c r="D29" s="10" t="s">
        <v>26</v>
      </c>
      <c r="E29" s="9">
        <v>0</v>
      </c>
      <c r="F29" s="9"/>
      <c r="G29" s="9">
        <f>+E29*10%</f>
        <v>0</v>
      </c>
      <c r="H29" s="9"/>
      <c r="I29" s="9">
        <f>+E29+G29</f>
        <v>0</v>
      </c>
      <c r="J29" s="9">
        <f t="shared" si="3"/>
        <v>0</v>
      </c>
      <c r="K29" s="9">
        <f t="shared" si="4"/>
        <v>0</v>
      </c>
      <c r="L29" s="65">
        <f t="shared" si="2"/>
        <v>0</v>
      </c>
      <c r="M29" s="42"/>
      <c r="N29" s="46"/>
      <c r="O29" s="63"/>
      <c r="P29" s="63"/>
      <c r="Q29" s="63"/>
      <c r="R29" s="63"/>
      <c r="S29" s="63"/>
    </row>
    <row r="30" spans="1:20" s="5" customFormat="1" x14ac:dyDescent="0.25">
      <c r="A30" s="8">
        <v>12</v>
      </c>
      <c r="B30" s="11" t="s">
        <v>52</v>
      </c>
      <c r="C30" s="12" t="s">
        <v>42</v>
      </c>
      <c r="D30" s="10" t="s">
        <v>27</v>
      </c>
      <c r="E30" s="9">
        <v>0</v>
      </c>
      <c r="F30" s="9">
        <f t="shared" si="0"/>
        <v>0</v>
      </c>
      <c r="G30" s="9"/>
      <c r="H30" s="9"/>
      <c r="I30" s="9">
        <f>+E30+F30</f>
        <v>0</v>
      </c>
      <c r="J30" s="9">
        <f t="shared" si="3"/>
        <v>0</v>
      </c>
      <c r="K30" s="9">
        <f t="shared" si="4"/>
        <v>0</v>
      </c>
      <c r="L30" s="65">
        <f t="shared" si="2"/>
        <v>0</v>
      </c>
      <c r="M30" s="42"/>
      <c r="N30" s="46"/>
      <c r="O30" s="64"/>
      <c r="P30" s="64"/>
      <c r="Q30" s="63"/>
      <c r="R30" s="63"/>
      <c r="S30" s="63"/>
    </row>
    <row r="31" spans="1:20" s="5" customFormat="1" x14ac:dyDescent="0.25">
      <c r="A31" s="73" t="s">
        <v>31</v>
      </c>
      <c r="B31" s="74"/>
      <c r="C31" s="74"/>
      <c r="D31" s="74"/>
      <c r="E31" s="74"/>
      <c r="F31" s="74"/>
      <c r="G31" s="74"/>
      <c r="H31" s="74"/>
      <c r="I31" s="74"/>
      <c r="J31" s="74"/>
      <c r="K31" s="75"/>
      <c r="L31" s="34">
        <f>SUM(L19:L30)</f>
        <v>0</v>
      </c>
      <c r="M31" s="42"/>
      <c r="N31" s="46"/>
      <c r="O31" s="63"/>
      <c r="P31" s="63"/>
      <c r="Q31" s="63"/>
      <c r="R31" s="63"/>
      <c r="S31" s="63"/>
    </row>
    <row r="32" spans="1:20" s="5" customFormat="1" x14ac:dyDescent="0.25">
      <c r="A32" s="70" t="s">
        <v>4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42"/>
      <c r="N32" s="46"/>
      <c r="O32" s="63"/>
      <c r="P32" s="63"/>
      <c r="Q32" s="63"/>
      <c r="R32" s="63"/>
      <c r="S32" s="63"/>
    </row>
    <row r="33" spans="1:22" s="5" customFormat="1" x14ac:dyDescent="0.25">
      <c r="A33" s="8">
        <v>1</v>
      </c>
      <c r="B33" s="11" t="s">
        <v>46</v>
      </c>
      <c r="C33" s="12" t="s">
        <v>42</v>
      </c>
      <c r="D33" s="12" t="s">
        <v>26</v>
      </c>
      <c r="E33" s="9">
        <v>0</v>
      </c>
      <c r="F33" s="9">
        <f>+E33*8%</f>
        <v>0</v>
      </c>
      <c r="G33" s="9"/>
      <c r="H33" s="9"/>
      <c r="I33" s="9">
        <f>+E33+F33</f>
        <v>0</v>
      </c>
      <c r="J33" s="9">
        <f t="shared" ref="J33:J37" si="5">+I33*10%</f>
        <v>0</v>
      </c>
      <c r="K33" s="9">
        <f t="shared" ref="K33:K37" si="6">+J33*19%</f>
        <v>0</v>
      </c>
      <c r="L33" s="65">
        <f>+I33+K33</f>
        <v>0</v>
      </c>
      <c r="M33" s="42"/>
      <c r="N33" s="46"/>
      <c r="O33" s="63"/>
      <c r="P33" s="63"/>
      <c r="Q33" s="63"/>
      <c r="R33" s="63"/>
      <c r="S33" s="63"/>
    </row>
    <row r="34" spans="1:22" s="5" customFormat="1" ht="15" customHeight="1" x14ac:dyDescent="0.25">
      <c r="A34" s="8">
        <v>2</v>
      </c>
      <c r="B34" s="11" t="s">
        <v>76</v>
      </c>
      <c r="C34" s="12" t="s">
        <v>42</v>
      </c>
      <c r="D34" s="12" t="s">
        <v>26</v>
      </c>
      <c r="E34" s="9">
        <v>0</v>
      </c>
      <c r="F34" s="9">
        <f>+E34*8%</f>
        <v>0</v>
      </c>
      <c r="G34" s="9"/>
      <c r="H34" s="9"/>
      <c r="I34" s="9">
        <f>+E34+F34</f>
        <v>0</v>
      </c>
      <c r="J34" s="9">
        <f t="shared" si="5"/>
        <v>0</v>
      </c>
      <c r="K34" s="9">
        <f t="shared" si="6"/>
        <v>0</v>
      </c>
      <c r="L34" s="65">
        <f>+I34+K34</f>
        <v>0</v>
      </c>
      <c r="M34" s="38"/>
      <c r="N34" s="46"/>
      <c r="O34" s="63"/>
      <c r="P34" s="63"/>
      <c r="Q34" s="63"/>
      <c r="R34" s="63"/>
      <c r="S34" s="63"/>
    </row>
    <row r="35" spans="1:22" s="5" customFormat="1" x14ac:dyDescent="0.25">
      <c r="A35" s="8">
        <v>3</v>
      </c>
      <c r="B35" s="43" t="s">
        <v>49</v>
      </c>
      <c r="C35" s="44" t="s">
        <v>42</v>
      </c>
      <c r="D35" s="44" t="s">
        <v>26</v>
      </c>
      <c r="E35" s="9">
        <v>0</v>
      </c>
      <c r="F35" s="9">
        <f>+E35*8%</f>
        <v>0</v>
      </c>
      <c r="G35" s="9"/>
      <c r="H35" s="9"/>
      <c r="I35" s="9">
        <f>+E35+F35</f>
        <v>0</v>
      </c>
      <c r="J35" s="9">
        <f t="shared" si="5"/>
        <v>0</v>
      </c>
      <c r="K35" s="9">
        <f t="shared" si="6"/>
        <v>0</v>
      </c>
      <c r="L35" s="65">
        <f>+(I35+K35)</f>
        <v>0</v>
      </c>
      <c r="M35" s="38"/>
      <c r="O35" s="63"/>
      <c r="P35" s="63"/>
      <c r="Q35" s="54"/>
      <c r="R35" s="63"/>
      <c r="S35" s="63"/>
    </row>
    <row r="36" spans="1:22" s="5" customFormat="1" ht="15" customHeight="1" x14ac:dyDescent="0.25">
      <c r="A36" s="8">
        <v>4</v>
      </c>
      <c r="B36" s="11" t="s">
        <v>50</v>
      </c>
      <c r="C36" s="12" t="s">
        <v>42</v>
      </c>
      <c r="D36" s="12" t="s">
        <v>68</v>
      </c>
      <c r="E36" s="9">
        <v>0</v>
      </c>
      <c r="F36" s="9">
        <f>+E36*8%</f>
        <v>0</v>
      </c>
      <c r="G36" s="9"/>
      <c r="H36" s="9"/>
      <c r="I36" s="9">
        <f>+E36+F36</f>
        <v>0</v>
      </c>
      <c r="J36" s="9">
        <f t="shared" si="5"/>
        <v>0</v>
      </c>
      <c r="K36" s="9">
        <f t="shared" si="6"/>
        <v>0</v>
      </c>
      <c r="L36" s="65">
        <f>+I36+K36</f>
        <v>0</v>
      </c>
      <c r="M36" s="42"/>
      <c r="Q36" s="54"/>
      <c r="S36" s="46"/>
    </row>
    <row r="37" spans="1:22" x14ac:dyDescent="0.25">
      <c r="A37" s="8">
        <v>5</v>
      </c>
      <c r="B37" s="11" t="s">
        <v>25</v>
      </c>
      <c r="C37" s="12" t="s">
        <v>43</v>
      </c>
      <c r="D37" s="12" t="s">
        <v>26</v>
      </c>
      <c r="E37" s="9">
        <v>0</v>
      </c>
      <c r="F37" s="9"/>
      <c r="G37" s="9">
        <f>+E37*10%</f>
        <v>0</v>
      </c>
      <c r="H37" s="9"/>
      <c r="I37" s="9">
        <f>+E37+G37</f>
        <v>0</v>
      </c>
      <c r="J37" s="9">
        <f t="shared" si="5"/>
        <v>0</v>
      </c>
      <c r="K37" s="9">
        <f t="shared" si="6"/>
        <v>0</v>
      </c>
      <c r="L37" s="65">
        <f>+I37+K37</f>
        <v>0</v>
      </c>
      <c r="M37" s="42"/>
      <c r="Q37" s="56"/>
      <c r="R37" s="5"/>
      <c r="S37" s="48"/>
      <c r="T37" s="47"/>
      <c r="V37" s="5"/>
    </row>
    <row r="38" spans="1:22" x14ac:dyDescent="0.25">
      <c r="A38" s="73">
        <v>0</v>
      </c>
      <c r="B38" s="74"/>
      <c r="C38" s="74"/>
      <c r="D38" s="74"/>
      <c r="E38" s="74"/>
      <c r="F38" s="74"/>
      <c r="G38" s="74"/>
      <c r="H38" s="74"/>
      <c r="I38" s="74"/>
      <c r="J38" s="74"/>
      <c r="K38" s="75"/>
      <c r="L38" s="33">
        <f>SUM(L33:L37)</f>
        <v>0</v>
      </c>
      <c r="M38" s="42"/>
      <c r="Q38" s="56"/>
      <c r="R38" s="5"/>
      <c r="S38" s="46"/>
    </row>
    <row r="39" spans="1:22" x14ac:dyDescent="0.25">
      <c r="A39" s="77" t="s">
        <v>70</v>
      </c>
      <c r="B39" s="78"/>
      <c r="C39" s="78"/>
      <c r="D39" s="78"/>
      <c r="E39" s="78"/>
      <c r="F39" s="78"/>
      <c r="G39" s="78"/>
      <c r="H39" s="78"/>
      <c r="I39" s="78"/>
      <c r="J39" s="78"/>
      <c r="K39" s="79"/>
      <c r="L39" s="66">
        <f>+L31+L38</f>
        <v>0</v>
      </c>
      <c r="M39" s="42"/>
      <c r="P39" s="37"/>
      <c r="Q39" s="57"/>
      <c r="T39" s="37"/>
      <c r="V39" s="37"/>
    </row>
    <row r="40" spans="1:22" x14ac:dyDescent="0.25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36"/>
      <c r="M40" s="42"/>
      <c r="P40" s="37"/>
      <c r="Q40" s="37"/>
      <c r="T40" s="37"/>
      <c r="V40" s="37"/>
    </row>
    <row r="41" spans="1:22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42"/>
    </row>
    <row r="42" spans="1:22" x14ac:dyDescent="0.25">
      <c r="A42" s="84" t="s">
        <v>78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42"/>
    </row>
    <row r="43" spans="1:22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</row>
    <row r="44" spans="1:22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41"/>
      <c r="N44" s="20"/>
    </row>
    <row r="45" spans="1:22" ht="19.5" x14ac:dyDescent="0.3">
      <c r="A45" s="72" t="s">
        <v>8</v>
      </c>
      <c r="B45" s="72"/>
      <c r="C45" s="72"/>
      <c r="D45" s="72"/>
      <c r="E45" s="72" t="s">
        <v>9</v>
      </c>
      <c r="F45" s="72"/>
      <c r="G45" s="72"/>
      <c r="H45" s="72"/>
      <c r="I45" s="72"/>
      <c r="J45" s="72"/>
      <c r="K45" s="72"/>
      <c r="L45" s="72"/>
    </row>
    <row r="46" spans="1:22" ht="48" x14ac:dyDescent="0.25">
      <c r="A46" s="53" t="s">
        <v>0</v>
      </c>
      <c r="B46" s="53" t="s">
        <v>10</v>
      </c>
      <c r="C46" s="53" t="s">
        <v>40</v>
      </c>
      <c r="D46" s="7" t="s">
        <v>1</v>
      </c>
      <c r="E46" s="2" t="s">
        <v>5</v>
      </c>
      <c r="F46" s="2" t="s">
        <v>2</v>
      </c>
      <c r="G46" s="2" t="s">
        <v>6</v>
      </c>
      <c r="H46" s="2" t="s">
        <v>29</v>
      </c>
      <c r="I46" s="2" t="s">
        <v>28</v>
      </c>
      <c r="J46" s="2" t="s">
        <v>44</v>
      </c>
      <c r="K46" s="3" t="s">
        <v>7</v>
      </c>
      <c r="L46" s="3" t="s">
        <v>69</v>
      </c>
    </row>
    <row r="47" spans="1:22" x14ac:dyDescent="0.25">
      <c r="A47" s="83" t="s">
        <v>3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</row>
    <row r="48" spans="1:22" x14ac:dyDescent="0.25">
      <c r="A48" s="8">
        <v>1</v>
      </c>
      <c r="B48" s="11" t="s">
        <v>12</v>
      </c>
      <c r="C48" s="12" t="s">
        <v>42</v>
      </c>
      <c r="D48" s="10" t="s">
        <v>26</v>
      </c>
      <c r="E48" s="9">
        <v>0</v>
      </c>
      <c r="F48" s="9">
        <f t="shared" ref="F48:F57" si="7">+E48*8%</f>
        <v>0</v>
      </c>
      <c r="G48" s="9"/>
      <c r="H48" s="9"/>
      <c r="I48" s="9">
        <f t="shared" ref="I48:I57" si="8">+E48+F48</f>
        <v>0</v>
      </c>
      <c r="J48" s="9">
        <f>+I48*10%</f>
        <v>0</v>
      </c>
      <c r="K48" s="9">
        <f>+J48*19%</f>
        <v>0</v>
      </c>
      <c r="L48" s="65">
        <f t="shared" ref="L48:L59" si="9">+I48+K48</f>
        <v>0</v>
      </c>
    </row>
    <row r="49" spans="1:12" x14ac:dyDescent="0.25">
      <c r="A49" s="8">
        <v>2</v>
      </c>
      <c r="B49" s="11" t="s">
        <v>13</v>
      </c>
      <c r="C49" s="12" t="s">
        <v>42</v>
      </c>
      <c r="D49" s="10" t="s">
        <v>26</v>
      </c>
      <c r="E49" s="9">
        <v>0</v>
      </c>
      <c r="F49" s="9">
        <f t="shared" si="7"/>
        <v>0</v>
      </c>
      <c r="G49" s="9"/>
      <c r="H49" s="9"/>
      <c r="I49" s="9">
        <f t="shared" si="8"/>
        <v>0</v>
      </c>
      <c r="J49" s="9">
        <f t="shared" ref="J49:J59" si="10">+I49*10%</f>
        <v>0</v>
      </c>
      <c r="K49" s="9">
        <f t="shared" ref="K49:K59" si="11">+J49*19%</f>
        <v>0</v>
      </c>
      <c r="L49" s="65">
        <f t="shared" si="9"/>
        <v>0</v>
      </c>
    </row>
    <row r="50" spans="1:12" x14ac:dyDescent="0.25">
      <c r="A50" s="8">
        <v>3</v>
      </c>
      <c r="B50" s="43" t="s">
        <v>81</v>
      </c>
      <c r="C50" s="44" t="s">
        <v>42</v>
      </c>
      <c r="D50" s="45" t="s">
        <v>27</v>
      </c>
      <c r="E50" s="9">
        <v>0</v>
      </c>
      <c r="F50" s="9">
        <f t="shared" si="7"/>
        <v>0</v>
      </c>
      <c r="G50" s="9"/>
      <c r="H50" s="9"/>
      <c r="I50" s="9">
        <f t="shared" si="8"/>
        <v>0</v>
      </c>
      <c r="J50" s="9">
        <f t="shared" si="10"/>
        <v>0</v>
      </c>
      <c r="K50" s="9">
        <f t="shared" si="11"/>
        <v>0</v>
      </c>
      <c r="L50" s="65">
        <f t="shared" si="9"/>
        <v>0</v>
      </c>
    </row>
    <row r="51" spans="1:12" x14ac:dyDescent="0.25">
      <c r="A51" s="8">
        <v>4</v>
      </c>
      <c r="B51" s="43" t="s">
        <v>15</v>
      </c>
      <c r="C51" s="44" t="s">
        <v>42</v>
      </c>
      <c r="D51" s="45" t="s">
        <v>26</v>
      </c>
      <c r="E51" s="9">
        <v>0</v>
      </c>
      <c r="F51" s="9">
        <f t="shared" si="7"/>
        <v>0</v>
      </c>
      <c r="G51" s="9"/>
      <c r="H51" s="9"/>
      <c r="I51" s="9">
        <f t="shared" si="8"/>
        <v>0</v>
      </c>
      <c r="J51" s="9">
        <f t="shared" si="10"/>
        <v>0</v>
      </c>
      <c r="K51" s="9">
        <f t="shared" si="11"/>
        <v>0</v>
      </c>
      <c r="L51" s="65">
        <f t="shared" si="9"/>
        <v>0</v>
      </c>
    </row>
    <row r="52" spans="1:12" x14ac:dyDescent="0.25">
      <c r="A52" s="8">
        <v>5</v>
      </c>
      <c r="B52" s="43" t="s">
        <v>71</v>
      </c>
      <c r="C52" s="44" t="s">
        <v>42</v>
      </c>
      <c r="D52" s="45" t="s">
        <v>26</v>
      </c>
      <c r="E52" s="9">
        <v>0</v>
      </c>
      <c r="F52" s="9">
        <f t="shared" si="7"/>
        <v>0</v>
      </c>
      <c r="G52" s="9"/>
      <c r="H52" s="9"/>
      <c r="I52" s="9">
        <f t="shared" si="8"/>
        <v>0</v>
      </c>
      <c r="J52" s="9">
        <f t="shared" si="10"/>
        <v>0</v>
      </c>
      <c r="K52" s="9">
        <f t="shared" si="11"/>
        <v>0</v>
      </c>
      <c r="L52" s="65">
        <f t="shared" si="9"/>
        <v>0</v>
      </c>
    </row>
    <row r="53" spans="1:12" x14ac:dyDescent="0.25">
      <c r="A53" s="8">
        <v>7</v>
      </c>
      <c r="B53" s="43" t="s">
        <v>18</v>
      </c>
      <c r="C53" s="44" t="s">
        <v>42</v>
      </c>
      <c r="D53" s="45" t="s">
        <v>26</v>
      </c>
      <c r="E53" s="9">
        <v>0</v>
      </c>
      <c r="F53" s="9">
        <f t="shared" si="7"/>
        <v>0</v>
      </c>
      <c r="G53" s="9"/>
      <c r="H53" s="9"/>
      <c r="I53" s="9">
        <f t="shared" si="8"/>
        <v>0</v>
      </c>
      <c r="J53" s="9">
        <f t="shared" si="10"/>
        <v>0</v>
      </c>
      <c r="K53" s="9">
        <f t="shared" si="11"/>
        <v>0</v>
      </c>
      <c r="L53" s="65">
        <f t="shared" si="9"/>
        <v>0</v>
      </c>
    </row>
    <row r="54" spans="1:12" x14ac:dyDescent="0.25">
      <c r="A54" s="8">
        <v>8</v>
      </c>
      <c r="B54" s="43" t="s">
        <v>19</v>
      </c>
      <c r="C54" s="44" t="s">
        <v>42</v>
      </c>
      <c r="D54" s="45" t="s">
        <v>26</v>
      </c>
      <c r="E54" s="9">
        <v>0</v>
      </c>
      <c r="F54" s="9">
        <f t="shared" si="7"/>
        <v>0</v>
      </c>
      <c r="G54" s="9"/>
      <c r="H54" s="9"/>
      <c r="I54" s="9">
        <f t="shared" si="8"/>
        <v>0</v>
      </c>
      <c r="J54" s="9">
        <f t="shared" si="10"/>
        <v>0</v>
      </c>
      <c r="K54" s="9">
        <f t="shared" si="11"/>
        <v>0</v>
      </c>
      <c r="L54" s="65">
        <f t="shared" si="9"/>
        <v>0</v>
      </c>
    </row>
    <row r="55" spans="1:12" x14ac:dyDescent="0.25">
      <c r="A55" s="8">
        <v>9</v>
      </c>
      <c r="B55" s="43" t="s">
        <v>72</v>
      </c>
      <c r="C55" s="44" t="s">
        <v>42</v>
      </c>
      <c r="D55" s="45" t="s">
        <v>26</v>
      </c>
      <c r="E55" s="9">
        <v>0</v>
      </c>
      <c r="F55" s="9">
        <f t="shared" si="7"/>
        <v>0</v>
      </c>
      <c r="G55" s="9"/>
      <c r="H55" s="9"/>
      <c r="I55" s="9">
        <f t="shared" si="8"/>
        <v>0</v>
      </c>
      <c r="J55" s="9">
        <f t="shared" si="10"/>
        <v>0</v>
      </c>
      <c r="K55" s="9">
        <f t="shared" si="11"/>
        <v>0</v>
      </c>
      <c r="L55" s="65">
        <f t="shared" si="9"/>
        <v>0</v>
      </c>
    </row>
    <row r="56" spans="1:12" x14ac:dyDescent="0.25">
      <c r="A56" s="8">
        <v>10</v>
      </c>
      <c r="B56" s="11" t="s">
        <v>21</v>
      </c>
      <c r="C56" s="12" t="s">
        <v>42</v>
      </c>
      <c r="D56" s="10" t="s">
        <v>26</v>
      </c>
      <c r="E56" s="9">
        <v>0</v>
      </c>
      <c r="F56" s="9">
        <f t="shared" si="7"/>
        <v>0</v>
      </c>
      <c r="G56" s="9"/>
      <c r="H56" s="9"/>
      <c r="I56" s="9">
        <f t="shared" si="8"/>
        <v>0</v>
      </c>
      <c r="J56" s="9">
        <f t="shared" si="10"/>
        <v>0</v>
      </c>
      <c r="K56" s="9">
        <f t="shared" si="11"/>
        <v>0</v>
      </c>
      <c r="L56" s="65">
        <f t="shared" si="9"/>
        <v>0</v>
      </c>
    </row>
    <row r="57" spans="1:12" x14ac:dyDescent="0.25">
      <c r="A57" s="8">
        <v>12</v>
      </c>
      <c r="B57" s="11" t="s">
        <v>23</v>
      </c>
      <c r="C57" s="12" t="s">
        <v>42</v>
      </c>
      <c r="D57" s="10" t="s">
        <v>26</v>
      </c>
      <c r="E57" s="9">
        <v>0</v>
      </c>
      <c r="F57" s="9">
        <f t="shared" si="7"/>
        <v>0</v>
      </c>
      <c r="G57" s="9"/>
      <c r="H57" s="9"/>
      <c r="I57" s="9">
        <f t="shared" si="8"/>
        <v>0</v>
      </c>
      <c r="J57" s="9">
        <f t="shared" si="10"/>
        <v>0</v>
      </c>
      <c r="K57" s="9">
        <f t="shared" si="11"/>
        <v>0</v>
      </c>
      <c r="L57" s="65">
        <f t="shared" si="9"/>
        <v>0</v>
      </c>
    </row>
    <row r="58" spans="1:12" x14ac:dyDescent="0.25">
      <c r="A58" s="8">
        <v>14</v>
      </c>
      <c r="B58" s="11" t="s">
        <v>25</v>
      </c>
      <c r="C58" s="12" t="s">
        <v>43</v>
      </c>
      <c r="D58" s="10" t="s">
        <v>26</v>
      </c>
      <c r="E58" s="9">
        <v>0</v>
      </c>
      <c r="F58" s="9"/>
      <c r="G58" s="9">
        <f>+E58*10%</f>
        <v>0</v>
      </c>
      <c r="H58" s="9"/>
      <c r="I58" s="9">
        <f>+E58+G58</f>
        <v>0</v>
      </c>
      <c r="J58" s="9">
        <f t="shared" si="10"/>
        <v>0</v>
      </c>
      <c r="K58" s="9">
        <f t="shared" si="11"/>
        <v>0</v>
      </c>
      <c r="L58" s="65">
        <f t="shared" si="9"/>
        <v>0</v>
      </c>
    </row>
    <row r="59" spans="1:12" x14ac:dyDescent="0.25">
      <c r="A59" s="8">
        <v>15</v>
      </c>
      <c r="B59" s="11" t="s">
        <v>52</v>
      </c>
      <c r="C59" s="12" t="s">
        <v>42</v>
      </c>
      <c r="D59" s="10" t="s">
        <v>27</v>
      </c>
      <c r="E59" s="9">
        <v>0</v>
      </c>
      <c r="F59" s="9">
        <f t="shared" ref="F59" si="12">+E59*8%</f>
        <v>0</v>
      </c>
      <c r="G59" s="9"/>
      <c r="H59" s="9"/>
      <c r="I59" s="9">
        <f>+E59+F59</f>
        <v>0</v>
      </c>
      <c r="J59" s="9">
        <f t="shared" si="10"/>
        <v>0</v>
      </c>
      <c r="K59" s="9">
        <f t="shared" si="11"/>
        <v>0</v>
      </c>
      <c r="L59" s="65">
        <f t="shared" si="9"/>
        <v>0</v>
      </c>
    </row>
    <row r="60" spans="1:12" x14ac:dyDescent="0.25">
      <c r="A60" s="73" t="s">
        <v>31</v>
      </c>
      <c r="B60" s="74"/>
      <c r="C60" s="74"/>
      <c r="D60" s="74"/>
      <c r="E60" s="74"/>
      <c r="F60" s="74"/>
      <c r="G60" s="74"/>
      <c r="H60" s="74"/>
      <c r="I60" s="74"/>
      <c r="J60" s="74"/>
      <c r="K60" s="75"/>
      <c r="L60" s="34">
        <f>SUM(L48:L59)</f>
        <v>0</v>
      </c>
    </row>
    <row r="61" spans="1:12" x14ac:dyDescent="0.25">
      <c r="A61" s="83" t="s">
        <v>4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</row>
    <row r="62" spans="1:12" x14ac:dyDescent="0.25">
      <c r="A62" s="8">
        <v>1</v>
      </c>
      <c r="B62" s="11" t="s">
        <v>46</v>
      </c>
      <c r="C62" s="12" t="s">
        <v>42</v>
      </c>
      <c r="D62" s="12" t="s">
        <v>26</v>
      </c>
      <c r="E62" s="9">
        <v>0</v>
      </c>
      <c r="F62" s="9">
        <f>+E62*8%</f>
        <v>0</v>
      </c>
      <c r="G62" s="9"/>
      <c r="H62" s="9"/>
      <c r="I62" s="9">
        <f>+E62+F62</f>
        <v>0</v>
      </c>
      <c r="J62" s="9">
        <f t="shared" ref="J62:J66" si="13">+I62*10%</f>
        <v>0</v>
      </c>
      <c r="K62" s="9">
        <f t="shared" ref="K62:K66" si="14">+J62*19%</f>
        <v>0</v>
      </c>
      <c r="L62" s="65">
        <f>+I62+K62</f>
        <v>0</v>
      </c>
    </row>
    <row r="63" spans="1:12" x14ac:dyDescent="0.25">
      <c r="A63" s="8">
        <v>3</v>
      </c>
      <c r="B63" s="11" t="s">
        <v>77</v>
      </c>
      <c r="C63" s="12" t="s">
        <v>42</v>
      </c>
      <c r="D63" s="12" t="s">
        <v>26</v>
      </c>
      <c r="E63" s="9">
        <v>0</v>
      </c>
      <c r="F63" s="9">
        <f>+E63*8%</f>
        <v>0</v>
      </c>
      <c r="G63" s="9"/>
      <c r="H63" s="9"/>
      <c r="I63" s="9">
        <f>+E63+F63</f>
        <v>0</v>
      </c>
      <c r="J63" s="9">
        <f t="shared" si="13"/>
        <v>0</v>
      </c>
      <c r="K63" s="9">
        <f t="shared" si="14"/>
        <v>0</v>
      </c>
      <c r="L63" s="65">
        <f>+I63+K63</f>
        <v>0</v>
      </c>
    </row>
    <row r="64" spans="1:12" x14ac:dyDescent="0.25">
      <c r="A64" s="8">
        <v>4</v>
      </c>
      <c r="B64" s="43" t="s">
        <v>49</v>
      </c>
      <c r="C64" s="44" t="s">
        <v>42</v>
      </c>
      <c r="D64" s="44" t="s">
        <v>26</v>
      </c>
      <c r="E64" s="9">
        <v>0</v>
      </c>
      <c r="F64" s="9">
        <f>+E64*8%</f>
        <v>0</v>
      </c>
      <c r="G64" s="9"/>
      <c r="H64" s="9"/>
      <c r="I64" s="9">
        <f>+E64+F64</f>
        <v>0</v>
      </c>
      <c r="J64" s="9">
        <f t="shared" si="13"/>
        <v>0</v>
      </c>
      <c r="K64" s="9">
        <f t="shared" si="14"/>
        <v>0</v>
      </c>
      <c r="L64" s="65">
        <f>+(I64+K64)</f>
        <v>0</v>
      </c>
    </row>
    <row r="65" spans="1:13" x14ac:dyDescent="0.25">
      <c r="A65" s="8">
        <v>5</v>
      </c>
      <c r="B65" s="11" t="s">
        <v>50</v>
      </c>
      <c r="C65" s="12" t="s">
        <v>42</v>
      </c>
      <c r="D65" s="12" t="s">
        <v>68</v>
      </c>
      <c r="E65" s="9">
        <v>0</v>
      </c>
      <c r="F65" s="9">
        <f>+E65*8%</f>
        <v>0</v>
      </c>
      <c r="G65" s="9"/>
      <c r="H65" s="9"/>
      <c r="I65" s="9">
        <f>+E65+F65</f>
        <v>0</v>
      </c>
      <c r="J65" s="9">
        <f t="shared" si="13"/>
        <v>0</v>
      </c>
      <c r="K65" s="9">
        <f t="shared" si="14"/>
        <v>0</v>
      </c>
      <c r="L65" s="65">
        <f>+I65+K65</f>
        <v>0</v>
      </c>
    </row>
    <row r="66" spans="1:13" x14ac:dyDescent="0.25">
      <c r="A66" s="52">
        <v>7</v>
      </c>
      <c r="B66" s="11" t="s">
        <v>25</v>
      </c>
      <c r="C66" s="12" t="s">
        <v>43</v>
      </c>
      <c r="D66" s="12" t="s">
        <v>26</v>
      </c>
      <c r="E66" s="9">
        <v>0</v>
      </c>
      <c r="F66" s="9"/>
      <c r="G66" s="9">
        <f>+E66*10%</f>
        <v>0</v>
      </c>
      <c r="H66" s="9"/>
      <c r="I66" s="9">
        <f>+E66+G66</f>
        <v>0</v>
      </c>
      <c r="J66" s="9">
        <f t="shared" si="13"/>
        <v>0</v>
      </c>
      <c r="K66" s="9">
        <f t="shared" si="14"/>
        <v>0</v>
      </c>
      <c r="L66" s="65">
        <f>+I66+K66</f>
        <v>0</v>
      </c>
    </row>
    <row r="67" spans="1:13" x14ac:dyDescent="0.25">
      <c r="A67" s="73">
        <v>0</v>
      </c>
      <c r="B67" s="74"/>
      <c r="C67" s="74"/>
      <c r="D67" s="74"/>
      <c r="E67" s="74"/>
      <c r="F67" s="74"/>
      <c r="G67" s="74"/>
      <c r="H67" s="74"/>
      <c r="I67" s="74"/>
      <c r="J67" s="74"/>
      <c r="K67" s="75"/>
      <c r="L67" s="33">
        <f>SUM(L62:L66)</f>
        <v>0</v>
      </c>
    </row>
    <row r="68" spans="1:13" x14ac:dyDescent="0.25">
      <c r="A68" s="77" t="s">
        <v>70</v>
      </c>
      <c r="B68" s="78"/>
      <c r="C68" s="78"/>
      <c r="D68" s="78"/>
      <c r="E68" s="78"/>
      <c r="F68" s="78"/>
      <c r="G68" s="78"/>
      <c r="H68" s="78"/>
      <c r="I68" s="78"/>
      <c r="J68" s="78"/>
      <c r="K68" s="79"/>
      <c r="L68" s="66">
        <f>+L60+L67</f>
        <v>0</v>
      </c>
    </row>
    <row r="69" spans="1:13" x14ac:dyDescent="0.25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36"/>
    </row>
    <row r="70" spans="1:13" x14ac:dyDescent="0.25"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20"/>
    </row>
    <row r="71" spans="1:13" x14ac:dyDescent="0.25"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42"/>
    </row>
    <row r="74" spans="1:13" x14ac:dyDescent="0.25">
      <c r="L74" s="59"/>
    </row>
    <row r="75" spans="1:13" x14ac:dyDescent="0.25">
      <c r="L75" s="59"/>
    </row>
    <row r="76" spans="1:13" x14ac:dyDescent="0.25">
      <c r="L76" s="58"/>
    </row>
  </sheetData>
  <mergeCells count="18">
    <mergeCell ref="E16:L16"/>
    <mergeCell ref="A18:L18"/>
    <mergeCell ref="B8:L10"/>
    <mergeCell ref="B1:L1"/>
    <mergeCell ref="A61:L61"/>
    <mergeCell ref="A67:K67"/>
    <mergeCell ref="A68:K68"/>
    <mergeCell ref="A42:L42"/>
    <mergeCell ref="A45:D45"/>
    <mergeCell ref="E45:L45"/>
    <mergeCell ref="A47:L47"/>
    <mergeCell ref="A60:K60"/>
    <mergeCell ref="A39:K39"/>
    <mergeCell ref="A13:L13"/>
    <mergeCell ref="A31:K31"/>
    <mergeCell ref="A32:L32"/>
    <mergeCell ref="A38:K38"/>
    <mergeCell ref="A16:D16"/>
  </mergeCells>
  <printOptions horizontalCentered="1" verticalCentered="1"/>
  <pageMargins left="0.23622047244094499" right="0.23622047244094499" top="0.143700787" bottom="0.39370078740157499" header="0.31496062992126" footer="0.31496062992126"/>
  <pageSetup scale="60" orientation="landscape" r:id="rId1"/>
  <ignoredErrors>
    <ignoredError sqref="L3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4"/>
  <sheetViews>
    <sheetView topLeftCell="F11" zoomScaleNormal="100" workbookViewId="0">
      <selection activeCell="F15" sqref="F15"/>
    </sheetView>
  </sheetViews>
  <sheetFormatPr baseColWidth="10" defaultColWidth="10.85546875" defaultRowHeight="15" x14ac:dyDescent="0.25"/>
  <cols>
    <col min="1" max="1" width="8.7109375" customWidth="1"/>
    <col min="2" max="2" width="57.7109375" customWidth="1"/>
    <col min="3" max="3" width="8.5703125" customWidth="1"/>
    <col min="4" max="4" width="8.7109375" customWidth="1"/>
    <col min="5" max="5" width="9.85546875" customWidth="1"/>
    <col min="6" max="7" width="12.28515625" customWidth="1"/>
    <col min="8" max="8" width="9.85546875" customWidth="1"/>
    <col min="9" max="10" width="11.140625" customWidth="1"/>
    <col min="11" max="11" width="12.28515625" customWidth="1"/>
    <col min="12" max="12" width="13.7109375" customWidth="1"/>
    <col min="13" max="13" width="10.5703125" customWidth="1"/>
    <col min="14" max="14" width="19.42578125" customWidth="1"/>
    <col min="15" max="15" width="18.85546875" style="5" customWidth="1"/>
    <col min="16" max="16" width="20.28515625" style="5" customWidth="1"/>
    <col min="17" max="17" width="12.5703125" style="5" bestFit="1" customWidth="1"/>
  </cols>
  <sheetData>
    <row r="1" spans="1:15" x14ac:dyDescent="0.25">
      <c r="B1" s="82" t="s">
        <v>56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5" x14ac:dyDescent="0.2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x14ac:dyDescent="0.25">
      <c r="B3" s="16" t="s">
        <v>36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5" x14ac:dyDescent="0.25">
      <c r="B4" s="15" t="s">
        <v>37</v>
      </c>
      <c r="C4" s="15"/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5" x14ac:dyDescent="0.25">
      <c r="B5" s="16" t="s">
        <v>38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5" x14ac:dyDescent="0.25">
      <c r="B6" s="16" t="s">
        <v>39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5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5" ht="44.25" customHeight="1" x14ac:dyDescent="0.25">
      <c r="B9" s="81" t="s">
        <v>57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1" spans="1:15" ht="21.75" customHeight="1" x14ac:dyDescent="0.3">
      <c r="A11" s="71" t="s">
        <v>11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1:15" ht="21.75" customHeight="1" x14ac:dyDescent="0.3">
      <c r="A12" s="72" t="s">
        <v>8</v>
      </c>
      <c r="B12" s="72"/>
      <c r="C12" s="72"/>
      <c r="D12" s="72"/>
      <c r="E12" s="72"/>
      <c r="F12" s="72" t="s">
        <v>9</v>
      </c>
      <c r="G12" s="72"/>
      <c r="H12" s="72"/>
      <c r="I12" s="72"/>
      <c r="J12" s="72"/>
      <c r="K12" s="72"/>
      <c r="L12" s="72"/>
      <c r="M12" s="72"/>
      <c r="N12" s="72"/>
    </row>
    <row r="13" spans="1:15" ht="54" customHeight="1" x14ac:dyDescent="0.25">
      <c r="A13" s="1" t="s">
        <v>0</v>
      </c>
      <c r="B13" s="1" t="s">
        <v>10</v>
      </c>
      <c r="C13" s="1" t="s">
        <v>41</v>
      </c>
      <c r="D13" s="1" t="s">
        <v>40</v>
      </c>
      <c r="E13" s="7" t="s">
        <v>1</v>
      </c>
      <c r="F13" s="2" t="s">
        <v>5</v>
      </c>
      <c r="G13" s="2"/>
      <c r="H13" s="2" t="s">
        <v>2</v>
      </c>
      <c r="I13" s="2" t="s">
        <v>6</v>
      </c>
      <c r="J13" s="2" t="s">
        <v>29</v>
      </c>
      <c r="K13" s="2" t="s">
        <v>28</v>
      </c>
      <c r="L13" s="2" t="s">
        <v>44</v>
      </c>
      <c r="M13" s="3" t="s">
        <v>7</v>
      </c>
      <c r="N13" s="3" t="s">
        <v>33</v>
      </c>
    </row>
    <row r="14" spans="1:15" ht="19.5" customHeight="1" x14ac:dyDescent="0.25">
      <c r="A14" s="70" t="s">
        <v>3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</row>
    <row r="15" spans="1:15" x14ac:dyDescent="0.25">
      <c r="A15" s="8">
        <v>1</v>
      </c>
      <c r="B15" s="11" t="s">
        <v>12</v>
      </c>
      <c r="C15" s="12" t="s">
        <v>42</v>
      </c>
      <c r="D15" s="12" t="s">
        <v>42</v>
      </c>
      <c r="E15" s="10" t="s">
        <v>26</v>
      </c>
      <c r="F15" s="9">
        <f>8800000+25000</f>
        <v>8825000</v>
      </c>
      <c r="G15" s="9">
        <f>+F15*O$15+F15</f>
        <v>10060500</v>
      </c>
      <c r="H15" s="9">
        <f>+G15*8%</f>
        <v>804840</v>
      </c>
      <c r="I15" s="9"/>
      <c r="J15" s="9"/>
      <c r="K15" s="9">
        <f t="shared" ref="K15:K27" si="0">+F15+H15</f>
        <v>9629840</v>
      </c>
      <c r="L15" s="9">
        <f t="shared" ref="L15:L29" si="1">+K15*10%</f>
        <v>962984</v>
      </c>
      <c r="M15" s="9">
        <f t="shared" ref="M15:M29" si="2">+L15*19%</f>
        <v>182966.96</v>
      </c>
      <c r="N15" s="9">
        <f>(((K15+M15)/30)*15)</f>
        <v>4906403.4800000004</v>
      </c>
      <c r="O15" s="22">
        <v>0.14000000000000001</v>
      </c>
    </row>
    <row r="16" spans="1:15" x14ac:dyDescent="0.25">
      <c r="A16" s="8">
        <v>2</v>
      </c>
      <c r="B16" s="11" t="s">
        <v>13</v>
      </c>
      <c r="C16" s="12" t="s">
        <v>42</v>
      </c>
      <c r="D16" s="12" t="s">
        <v>42</v>
      </c>
      <c r="E16" s="10" t="s">
        <v>26</v>
      </c>
      <c r="F16" s="9">
        <f>+F15</f>
        <v>8825000</v>
      </c>
      <c r="G16" s="9">
        <f t="shared" ref="G16:G29" si="3">+F16*O$15+F16</f>
        <v>10060500</v>
      </c>
      <c r="H16" s="9">
        <f t="shared" ref="H16:H27" si="4">+G16*8%</f>
        <v>804840</v>
      </c>
      <c r="I16" s="9"/>
      <c r="J16" s="9"/>
      <c r="K16" s="9">
        <f t="shared" si="0"/>
        <v>9629840</v>
      </c>
      <c r="L16" s="9">
        <f t="shared" si="1"/>
        <v>962984</v>
      </c>
      <c r="M16" s="9">
        <f t="shared" si="2"/>
        <v>182966.96</v>
      </c>
      <c r="N16" s="9">
        <f t="shared" ref="N16:N29" si="5">(((K16+M16)/30)*15)</f>
        <v>4906403.4800000004</v>
      </c>
    </row>
    <row r="17" spans="1:14" x14ac:dyDescent="0.25">
      <c r="A17" s="8">
        <v>3</v>
      </c>
      <c r="B17" s="11" t="s">
        <v>14</v>
      </c>
      <c r="C17" s="12" t="s">
        <v>42</v>
      </c>
      <c r="D17" s="12" t="s">
        <v>42</v>
      </c>
      <c r="E17" s="10" t="s">
        <v>27</v>
      </c>
      <c r="F17" s="9">
        <f>+(((F15*55.97%)/15)*12)</f>
        <v>3951482</v>
      </c>
      <c r="G17" s="9">
        <f t="shared" si="3"/>
        <v>4504689.4800000004</v>
      </c>
      <c r="H17" s="9">
        <f t="shared" si="4"/>
        <v>360375.15840000001</v>
      </c>
      <c r="I17" s="9"/>
      <c r="J17" s="9"/>
      <c r="K17" s="9">
        <f t="shared" si="0"/>
        <v>4311857.1584000001</v>
      </c>
      <c r="L17" s="9">
        <f t="shared" si="1"/>
        <v>431185.71584000002</v>
      </c>
      <c r="M17" s="9">
        <f t="shared" si="2"/>
        <v>81925.286009600008</v>
      </c>
      <c r="N17" s="9">
        <f t="shared" si="5"/>
        <v>2196891.2222048002</v>
      </c>
    </row>
    <row r="18" spans="1:14" x14ac:dyDescent="0.25">
      <c r="A18" s="8">
        <v>4</v>
      </c>
      <c r="B18" s="11" t="s">
        <v>15</v>
      </c>
      <c r="C18" s="12" t="s">
        <v>42</v>
      </c>
      <c r="D18" s="12" t="s">
        <v>42</v>
      </c>
      <c r="E18" s="10" t="s">
        <v>26</v>
      </c>
      <c r="F18" s="9">
        <f>+F15</f>
        <v>8825000</v>
      </c>
      <c r="G18" s="9">
        <f t="shared" si="3"/>
        <v>10060500</v>
      </c>
      <c r="H18" s="9">
        <f t="shared" si="4"/>
        <v>804840</v>
      </c>
      <c r="I18" s="9"/>
      <c r="J18" s="9"/>
      <c r="K18" s="9">
        <f t="shared" si="0"/>
        <v>9629840</v>
      </c>
      <c r="L18" s="9">
        <f t="shared" si="1"/>
        <v>962984</v>
      </c>
      <c r="M18" s="9">
        <f t="shared" si="2"/>
        <v>182966.96</v>
      </c>
      <c r="N18" s="9">
        <f t="shared" si="5"/>
        <v>4906403.4800000004</v>
      </c>
    </row>
    <row r="19" spans="1:14" x14ac:dyDescent="0.25">
      <c r="A19" s="8">
        <v>5</v>
      </c>
      <c r="B19" s="11" t="s">
        <v>16</v>
      </c>
      <c r="C19" s="12" t="s">
        <v>42</v>
      </c>
      <c r="D19" s="12" t="s">
        <v>42</v>
      </c>
      <c r="E19" s="10" t="s">
        <v>26</v>
      </c>
      <c r="F19" s="9">
        <f>+F15</f>
        <v>8825000</v>
      </c>
      <c r="G19" s="9">
        <f t="shared" si="3"/>
        <v>10060500</v>
      </c>
      <c r="H19" s="9">
        <f t="shared" si="4"/>
        <v>804840</v>
      </c>
      <c r="I19" s="9"/>
      <c r="J19" s="9"/>
      <c r="K19" s="9">
        <f t="shared" si="0"/>
        <v>9629840</v>
      </c>
      <c r="L19" s="9">
        <f t="shared" si="1"/>
        <v>962984</v>
      </c>
      <c r="M19" s="9">
        <f t="shared" si="2"/>
        <v>182966.96</v>
      </c>
      <c r="N19" s="9">
        <f t="shared" si="5"/>
        <v>4906403.4800000004</v>
      </c>
    </row>
    <row r="20" spans="1:14" x14ac:dyDescent="0.25">
      <c r="A20" s="8">
        <v>6</v>
      </c>
      <c r="B20" s="11" t="s">
        <v>17</v>
      </c>
      <c r="C20" s="12" t="s">
        <v>42</v>
      </c>
      <c r="D20" s="12" t="s">
        <v>42</v>
      </c>
      <c r="E20" s="10" t="s">
        <v>26</v>
      </c>
      <c r="F20" s="9">
        <f>+F15</f>
        <v>8825000</v>
      </c>
      <c r="G20" s="9">
        <f t="shared" si="3"/>
        <v>10060500</v>
      </c>
      <c r="H20" s="9">
        <f t="shared" si="4"/>
        <v>804840</v>
      </c>
      <c r="I20" s="9"/>
      <c r="J20" s="9"/>
      <c r="K20" s="9">
        <f t="shared" si="0"/>
        <v>9629840</v>
      </c>
      <c r="L20" s="9">
        <f t="shared" si="1"/>
        <v>962984</v>
      </c>
      <c r="M20" s="9">
        <f t="shared" si="2"/>
        <v>182966.96</v>
      </c>
      <c r="N20" s="9">
        <f t="shared" si="5"/>
        <v>4906403.4800000004</v>
      </c>
    </row>
    <row r="21" spans="1:14" x14ac:dyDescent="0.25">
      <c r="A21" s="8">
        <v>7</v>
      </c>
      <c r="B21" s="11" t="s">
        <v>18</v>
      </c>
      <c r="C21" s="12" t="s">
        <v>42</v>
      </c>
      <c r="D21" s="12" t="s">
        <v>42</v>
      </c>
      <c r="E21" s="10" t="s">
        <v>26</v>
      </c>
      <c r="F21" s="9">
        <f>+F15</f>
        <v>8825000</v>
      </c>
      <c r="G21" s="9">
        <f t="shared" si="3"/>
        <v>10060500</v>
      </c>
      <c r="H21" s="9">
        <f t="shared" si="4"/>
        <v>804840</v>
      </c>
      <c r="I21" s="9"/>
      <c r="J21" s="9"/>
      <c r="K21" s="9">
        <f t="shared" si="0"/>
        <v>9629840</v>
      </c>
      <c r="L21" s="9">
        <f t="shared" si="1"/>
        <v>962984</v>
      </c>
      <c r="M21" s="9">
        <f t="shared" si="2"/>
        <v>182966.96</v>
      </c>
      <c r="N21" s="9">
        <f t="shared" si="5"/>
        <v>4906403.4800000004</v>
      </c>
    </row>
    <row r="22" spans="1:14" x14ac:dyDescent="0.25">
      <c r="A22" s="8">
        <v>8</v>
      </c>
      <c r="B22" s="11" t="s">
        <v>19</v>
      </c>
      <c r="C22" s="12" t="s">
        <v>42</v>
      </c>
      <c r="D22" s="12" t="s">
        <v>42</v>
      </c>
      <c r="E22" s="10" t="s">
        <v>26</v>
      </c>
      <c r="F22" s="9">
        <f>+F15</f>
        <v>8825000</v>
      </c>
      <c r="G22" s="9">
        <f t="shared" si="3"/>
        <v>10060500</v>
      </c>
      <c r="H22" s="9">
        <f t="shared" si="4"/>
        <v>804840</v>
      </c>
      <c r="I22" s="9"/>
      <c r="J22" s="9"/>
      <c r="K22" s="9">
        <f t="shared" si="0"/>
        <v>9629840</v>
      </c>
      <c r="L22" s="9">
        <f t="shared" si="1"/>
        <v>962984</v>
      </c>
      <c r="M22" s="9">
        <f t="shared" si="2"/>
        <v>182966.96</v>
      </c>
      <c r="N22" s="9">
        <f t="shared" si="5"/>
        <v>4906403.4800000004</v>
      </c>
    </row>
    <row r="23" spans="1:14" x14ac:dyDescent="0.25">
      <c r="A23" s="8">
        <v>9</v>
      </c>
      <c r="B23" s="11" t="s">
        <v>20</v>
      </c>
      <c r="C23" s="12" t="s">
        <v>42</v>
      </c>
      <c r="D23" s="12" t="s">
        <v>42</v>
      </c>
      <c r="E23" s="10" t="s">
        <v>26</v>
      </c>
      <c r="F23" s="9">
        <f>+F15</f>
        <v>8825000</v>
      </c>
      <c r="G23" s="9">
        <f t="shared" si="3"/>
        <v>10060500</v>
      </c>
      <c r="H23" s="9">
        <f t="shared" si="4"/>
        <v>804840</v>
      </c>
      <c r="I23" s="9"/>
      <c r="J23" s="9"/>
      <c r="K23" s="9">
        <f t="shared" si="0"/>
        <v>9629840</v>
      </c>
      <c r="L23" s="9">
        <f t="shared" si="1"/>
        <v>962984</v>
      </c>
      <c r="M23" s="9">
        <f t="shared" si="2"/>
        <v>182966.96</v>
      </c>
      <c r="N23" s="9">
        <f t="shared" si="5"/>
        <v>4906403.4800000004</v>
      </c>
    </row>
    <row r="24" spans="1:14" x14ac:dyDescent="0.25">
      <c r="A24" s="8">
        <v>10</v>
      </c>
      <c r="B24" s="11" t="s">
        <v>21</v>
      </c>
      <c r="C24" s="12" t="s">
        <v>42</v>
      </c>
      <c r="D24" s="12" t="s">
        <v>42</v>
      </c>
      <c r="E24" s="10" t="s">
        <v>26</v>
      </c>
      <c r="F24" s="9">
        <f>+F15</f>
        <v>8825000</v>
      </c>
      <c r="G24" s="9">
        <f t="shared" si="3"/>
        <v>10060500</v>
      </c>
      <c r="H24" s="9">
        <f t="shared" si="4"/>
        <v>804840</v>
      </c>
      <c r="I24" s="9"/>
      <c r="J24" s="9"/>
      <c r="K24" s="9">
        <f t="shared" si="0"/>
        <v>9629840</v>
      </c>
      <c r="L24" s="9">
        <f t="shared" si="1"/>
        <v>962984</v>
      </c>
      <c r="M24" s="9">
        <f t="shared" si="2"/>
        <v>182966.96</v>
      </c>
      <c r="N24" s="9">
        <f t="shared" si="5"/>
        <v>4906403.4800000004</v>
      </c>
    </row>
    <row r="25" spans="1:14" x14ac:dyDescent="0.25">
      <c r="A25" s="8">
        <v>11</v>
      </c>
      <c r="B25" s="11" t="s">
        <v>22</v>
      </c>
      <c r="C25" s="12" t="s">
        <v>42</v>
      </c>
      <c r="D25" s="12" t="s">
        <v>42</v>
      </c>
      <c r="E25" s="10" t="s">
        <v>26</v>
      </c>
      <c r="F25" s="9">
        <f>+F15</f>
        <v>8825000</v>
      </c>
      <c r="G25" s="9">
        <f t="shared" si="3"/>
        <v>10060500</v>
      </c>
      <c r="H25" s="9">
        <f t="shared" si="4"/>
        <v>804840</v>
      </c>
      <c r="I25" s="9"/>
      <c r="J25" s="9"/>
      <c r="K25" s="9">
        <f t="shared" si="0"/>
        <v>9629840</v>
      </c>
      <c r="L25" s="9">
        <f t="shared" si="1"/>
        <v>962984</v>
      </c>
      <c r="M25" s="9">
        <f t="shared" si="2"/>
        <v>182966.96</v>
      </c>
      <c r="N25" s="9">
        <f t="shared" si="5"/>
        <v>4906403.4800000004</v>
      </c>
    </row>
    <row r="26" spans="1:14" x14ac:dyDescent="0.25">
      <c r="A26" s="8">
        <v>12</v>
      </c>
      <c r="B26" s="11" t="s">
        <v>23</v>
      </c>
      <c r="C26" s="12" t="s">
        <v>42</v>
      </c>
      <c r="D26" s="12" t="s">
        <v>42</v>
      </c>
      <c r="E26" s="10" t="s">
        <v>26</v>
      </c>
      <c r="F26" s="9">
        <f>+F15</f>
        <v>8825000</v>
      </c>
      <c r="G26" s="9">
        <f t="shared" si="3"/>
        <v>10060500</v>
      </c>
      <c r="H26" s="9">
        <f t="shared" si="4"/>
        <v>804840</v>
      </c>
      <c r="I26" s="9"/>
      <c r="J26" s="9"/>
      <c r="K26" s="9">
        <f t="shared" si="0"/>
        <v>9629840</v>
      </c>
      <c r="L26" s="9">
        <f t="shared" si="1"/>
        <v>962984</v>
      </c>
      <c r="M26" s="9">
        <f t="shared" si="2"/>
        <v>182966.96</v>
      </c>
      <c r="N26" s="9">
        <f t="shared" si="5"/>
        <v>4906403.4800000004</v>
      </c>
    </row>
    <row r="27" spans="1:14" x14ac:dyDescent="0.25">
      <c r="A27" s="8">
        <v>13</v>
      </c>
      <c r="B27" s="11" t="s">
        <v>24</v>
      </c>
      <c r="C27" s="12" t="s">
        <v>42</v>
      </c>
      <c r="D27" s="12" t="s">
        <v>42</v>
      </c>
      <c r="E27" s="10" t="s">
        <v>26</v>
      </c>
      <c r="F27" s="24">
        <f>10120000+25000</f>
        <v>10145000</v>
      </c>
      <c r="G27" s="9">
        <f t="shared" si="3"/>
        <v>11565300</v>
      </c>
      <c r="H27" s="9">
        <f t="shared" si="4"/>
        <v>925224</v>
      </c>
      <c r="I27" s="9"/>
      <c r="J27" s="9"/>
      <c r="K27" s="9">
        <f t="shared" si="0"/>
        <v>11070224</v>
      </c>
      <c r="L27" s="9">
        <f t="shared" si="1"/>
        <v>1107022.4000000001</v>
      </c>
      <c r="M27" s="9">
        <f t="shared" si="2"/>
        <v>210334.25600000002</v>
      </c>
      <c r="N27" s="9">
        <f t="shared" si="5"/>
        <v>5640279.1279999996</v>
      </c>
    </row>
    <row r="28" spans="1:14" x14ac:dyDescent="0.25">
      <c r="A28" s="8">
        <v>14</v>
      </c>
      <c r="B28" s="11" t="s">
        <v>25</v>
      </c>
      <c r="C28" s="12" t="s">
        <v>42</v>
      </c>
      <c r="D28" s="12" t="s">
        <v>43</v>
      </c>
      <c r="E28" s="10" t="s">
        <v>26</v>
      </c>
      <c r="F28" s="9">
        <f>+F15</f>
        <v>8825000</v>
      </c>
      <c r="G28" s="9">
        <f t="shared" si="3"/>
        <v>10060500</v>
      </c>
      <c r="H28" s="9"/>
      <c r="I28" s="9">
        <f>+G28*10%</f>
        <v>1006050</v>
      </c>
      <c r="J28" s="9"/>
      <c r="K28" s="9">
        <f>+F28+I28</f>
        <v>9831050</v>
      </c>
      <c r="L28" s="9">
        <f t="shared" si="1"/>
        <v>983105</v>
      </c>
      <c r="M28" s="9">
        <f t="shared" si="2"/>
        <v>186789.95</v>
      </c>
      <c r="N28" s="9">
        <f t="shared" si="5"/>
        <v>5008919.9749999996</v>
      </c>
    </row>
    <row r="29" spans="1:14" x14ac:dyDescent="0.25">
      <c r="A29" s="8">
        <v>15</v>
      </c>
      <c r="B29" s="11" t="s">
        <v>52</v>
      </c>
      <c r="C29" s="12" t="s">
        <v>42</v>
      </c>
      <c r="D29" s="12" t="s">
        <v>42</v>
      </c>
      <c r="E29" s="10" t="s">
        <v>27</v>
      </c>
      <c r="F29" s="24">
        <f>4088976+10500</f>
        <v>4099476</v>
      </c>
      <c r="G29" s="9">
        <f t="shared" si="3"/>
        <v>4673402.6399999997</v>
      </c>
      <c r="H29" s="9">
        <f>+G29*8%</f>
        <v>373872.21119999996</v>
      </c>
      <c r="I29" s="9"/>
      <c r="J29" s="9"/>
      <c r="K29" s="9">
        <f>+F29+H29</f>
        <v>4473348.2111999998</v>
      </c>
      <c r="L29" s="9">
        <f t="shared" si="1"/>
        <v>447334.82111999998</v>
      </c>
      <c r="M29" s="9">
        <f t="shared" si="2"/>
        <v>84993.61601279999</v>
      </c>
      <c r="N29" s="9">
        <f t="shared" si="5"/>
        <v>2279170.9136063997</v>
      </c>
    </row>
    <row r="30" spans="1:14" ht="15" customHeight="1" x14ac:dyDescent="0.25">
      <c r="A30" s="73" t="s">
        <v>31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5"/>
      <c r="N30" s="9">
        <f>SUM(N15:N29)</f>
        <v>69095699.518811226</v>
      </c>
    </row>
    <row r="31" spans="1:14" ht="21" customHeight="1" x14ac:dyDescent="0.25">
      <c r="A31" s="70" t="s">
        <v>4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ht="15" customHeight="1" x14ac:dyDescent="0.25">
      <c r="A32" s="8">
        <v>1</v>
      </c>
      <c r="B32" s="11" t="s">
        <v>46</v>
      </c>
      <c r="C32" s="12" t="s">
        <v>42</v>
      </c>
      <c r="D32" s="12" t="s">
        <v>42</v>
      </c>
      <c r="E32" s="12" t="s">
        <v>26</v>
      </c>
      <c r="F32" s="9">
        <f>+F15</f>
        <v>8825000</v>
      </c>
      <c r="G32" s="9">
        <f t="shared" ref="G32:G39" si="6">+F32*O$15+F32</f>
        <v>10060500</v>
      </c>
      <c r="H32" s="9">
        <f>+G32*8%</f>
        <v>804840</v>
      </c>
      <c r="I32" s="9"/>
      <c r="J32" s="9"/>
      <c r="K32" s="9">
        <f>+F32+H32</f>
        <v>9629840</v>
      </c>
      <c r="L32" s="9">
        <f t="shared" ref="L32:L39" si="7">+K32*10%</f>
        <v>962984</v>
      </c>
      <c r="M32" s="9">
        <f t="shared" ref="M32:M39" si="8">+L32*19%</f>
        <v>182966.96</v>
      </c>
      <c r="N32" s="9">
        <f>(((K32+M32)/30)*15)</f>
        <v>4906403.4800000004</v>
      </c>
    </row>
    <row r="33" spans="1:17" x14ac:dyDescent="0.25">
      <c r="A33" s="8">
        <v>2</v>
      </c>
      <c r="B33" s="11" t="s">
        <v>47</v>
      </c>
      <c r="C33" s="12" t="s">
        <v>42</v>
      </c>
      <c r="D33" s="12" t="s">
        <v>42</v>
      </c>
      <c r="E33" s="10" t="s">
        <v>27</v>
      </c>
      <c r="F33" s="9">
        <f>4925360+20000</f>
        <v>4945360</v>
      </c>
      <c r="G33" s="9">
        <f t="shared" si="6"/>
        <v>5637710.4000000004</v>
      </c>
      <c r="H33" s="9">
        <f t="shared" ref="H33:H36" si="9">+G33*8%</f>
        <v>451016.83200000005</v>
      </c>
      <c r="I33" s="9"/>
      <c r="J33" s="9"/>
      <c r="K33" s="9">
        <f>+F33+H33</f>
        <v>5396376.8320000004</v>
      </c>
      <c r="L33" s="9">
        <f t="shared" si="7"/>
        <v>539637.68320000009</v>
      </c>
      <c r="M33" s="9">
        <f t="shared" si="8"/>
        <v>102531.15980800001</v>
      </c>
      <c r="N33" s="9">
        <f t="shared" ref="N33:N38" si="10">(((K33+M33)/30)*15)</f>
        <v>2749453.995904</v>
      </c>
    </row>
    <row r="34" spans="1:17" x14ac:dyDescent="0.25">
      <c r="A34" s="8">
        <v>3</v>
      </c>
      <c r="B34" s="11" t="s">
        <v>48</v>
      </c>
      <c r="C34" s="12" t="s">
        <v>42</v>
      </c>
      <c r="D34" s="12" t="s">
        <v>42</v>
      </c>
      <c r="E34" s="12" t="s">
        <v>26</v>
      </c>
      <c r="F34" s="9">
        <f>+F15</f>
        <v>8825000</v>
      </c>
      <c r="G34" s="9">
        <f t="shared" si="6"/>
        <v>10060500</v>
      </c>
      <c r="H34" s="9">
        <f t="shared" si="9"/>
        <v>804840</v>
      </c>
      <c r="I34" s="9"/>
      <c r="J34" s="9"/>
      <c r="K34" s="9">
        <f>+F34+H34</f>
        <v>9629840</v>
      </c>
      <c r="L34" s="9">
        <f t="shared" si="7"/>
        <v>962984</v>
      </c>
      <c r="M34" s="9">
        <f t="shared" si="8"/>
        <v>182966.96</v>
      </c>
      <c r="N34" s="9">
        <f t="shared" si="10"/>
        <v>4906403.4800000004</v>
      </c>
    </row>
    <row r="35" spans="1:17" x14ac:dyDescent="0.25">
      <c r="A35" s="8">
        <v>4</v>
      </c>
      <c r="B35" s="11" t="s">
        <v>49</v>
      </c>
      <c r="C35" s="12" t="s">
        <v>42</v>
      </c>
      <c r="D35" s="12" t="s">
        <v>42</v>
      </c>
      <c r="E35" s="12" t="s">
        <v>26</v>
      </c>
      <c r="F35" s="9">
        <f>+F15</f>
        <v>8825000</v>
      </c>
      <c r="G35" s="9">
        <f t="shared" si="6"/>
        <v>10060500</v>
      </c>
      <c r="H35" s="9">
        <f t="shared" si="9"/>
        <v>804840</v>
      </c>
      <c r="I35" s="9"/>
      <c r="J35" s="9"/>
      <c r="K35" s="9">
        <f>+F35+H35</f>
        <v>9629840</v>
      </c>
      <c r="L35" s="9">
        <f t="shared" si="7"/>
        <v>962984</v>
      </c>
      <c r="M35" s="9">
        <f t="shared" si="8"/>
        <v>182966.96</v>
      </c>
      <c r="N35" s="9">
        <f t="shared" si="10"/>
        <v>4906403.4800000004</v>
      </c>
    </row>
    <row r="36" spans="1:17" x14ac:dyDescent="0.25">
      <c r="A36" s="8">
        <v>5</v>
      </c>
      <c r="B36" s="11" t="s">
        <v>50</v>
      </c>
      <c r="C36" s="12" t="s">
        <v>42</v>
      </c>
      <c r="D36" s="12" t="s">
        <v>42</v>
      </c>
      <c r="E36" s="12" t="s">
        <v>26</v>
      </c>
      <c r="F36" s="9">
        <f>+F15</f>
        <v>8825000</v>
      </c>
      <c r="G36" s="9">
        <f t="shared" si="6"/>
        <v>10060500</v>
      </c>
      <c r="H36" s="9">
        <f t="shared" si="9"/>
        <v>804840</v>
      </c>
      <c r="I36" s="9"/>
      <c r="J36" s="9"/>
      <c r="K36" s="9">
        <f>+F36+H36</f>
        <v>9629840</v>
      </c>
      <c r="L36" s="9">
        <f t="shared" si="7"/>
        <v>962984</v>
      </c>
      <c r="M36" s="9">
        <f t="shared" si="8"/>
        <v>182966.96</v>
      </c>
      <c r="N36" s="9">
        <f t="shared" si="10"/>
        <v>4906403.4800000004</v>
      </c>
    </row>
    <row r="37" spans="1:17" x14ac:dyDescent="0.25">
      <c r="A37" s="8">
        <v>6</v>
      </c>
      <c r="B37" s="11" t="s">
        <v>51</v>
      </c>
      <c r="C37" s="12" t="s">
        <v>43</v>
      </c>
      <c r="D37" s="12" t="s">
        <v>42</v>
      </c>
      <c r="E37" s="12" t="s">
        <v>26</v>
      </c>
      <c r="F37" s="9">
        <f>+F15</f>
        <v>8825000</v>
      </c>
      <c r="G37" s="9">
        <f t="shared" si="6"/>
        <v>10060500</v>
      </c>
      <c r="H37" s="9"/>
      <c r="I37" s="9"/>
      <c r="J37" s="9">
        <f>+G37*11%</f>
        <v>1106655</v>
      </c>
      <c r="K37" s="9">
        <f>+F37+J37</f>
        <v>9931655</v>
      </c>
      <c r="L37" s="9">
        <f t="shared" si="7"/>
        <v>993165.5</v>
      </c>
      <c r="M37" s="9">
        <f t="shared" si="8"/>
        <v>188701.44500000001</v>
      </c>
      <c r="N37" s="9">
        <f t="shared" si="10"/>
        <v>5060178.2225000001</v>
      </c>
    </row>
    <row r="38" spans="1:17" x14ac:dyDescent="0.25">
      <c r="A38" s="18">
        <v>7</v>
      </c>
      <c r="B38" s="11" t="s">
        <v>25</v>
      </c>
      <c r="C38" s="12" t="s">
        <v>42</v>
      </c>
      <c r="D38" s="12" t="s">
        <v>43</v>
      </c>
      <c r="E38" s="12" t="s">
        <v>26</v>
      </c>
      <c r="F38" s="9">
        <f>+F15</f>
        <v>8825000</v>
      </c>
      <c r="G38" s="9">
        <f t="shared" si="6"/>
        <v>10060500</v>
      </c>
      <c r="H38" s="9"/>
      <c r="I38" s="9">
        <f>+G38*10%</f>
        <v>1006050</v>
      </c>
      <c r="J38" s="9"/>
      <c r="K38" s="9">
        <f>+F38+I38</f>
        <v>9831050</v>
      </c>
      <c r="L38" s="9">
        <f t="shared" si="7"/>
        <v>983105</v>
      </c>
      <c r="M38" s="9">
        <f t="shared" si="8"/>
        <v>186789.95</v>
      </c>
      <c r="N38" s="9">
        <f t="shared" si="10"/>
        <v>5008919.9749999996</v>
      </c>
    </row>
    <row r="39" spans="1:17" x14ac:dyDescent="0.25">
      <c r="A39" s="18">
        <v>8</v>
      </c>
      <c r="B39" s="11" t="s">
        <v>45</v>
      </c>
      <c r="C39" s="12" t="s">
        <v>42</v>
      </c>
      <c r="D39" s="12" t="s">
        <v>42</v>
      </c>
      <c r="E39" s="12" t="s">
        <v>27</v>
      </c>
      <c r="F39" s="9">
        <f>+F29</f>
        <v>4099476</v>
      </c>
      <c r="G39" s="9">
        <f t="shared" si="6"/>
        <v>4673402.6399999997</v>
      </c>
      <c r="H39" s="9">
        <f>+G39*8%</f>
        <v>373872.21119999996</v>
      </c>
      <c r="I39" s="9"/>
      <c r="J39" s="9"/>
      <c r="K39" s="9">
        <f t="shared" ref="K39" si="11">+F39+H39</f>
        <v>4473348.2111999998</v>
      </c>
      <c r="L39" s="9">
        <f t="shared" si="7"/>
        <v>447334.82111999998</v>
      </c>
      <c r="M39" s="9">
        <f t="shared" si="8"/>
        <v>84993.61601279999</v>
      </c>
      <c r="N39" s="9">
        <f>(((K39+M39)/30)*15)</f>
        <v>2279170.9136063997</v>
      </c>
    </row>
    <row r="40" spans="1:17" x14ac:dyDescent="0.25">
      <c r="A40" s="73" t="s">
        <v>32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5"/>
      <c r="N40" s="14">
        <f>SUM(N32:N39)</f>
        <v>34723337.027010404</v>
      </c>
    </row>
    <row r="41" spans="1:17" ht="21" customHeight="1" x14ac:dyDescent="0.25">
      <c r="A41" s="86" t="s">
        <v>30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8"/>
      <c r="N41" s="14">
        <f>+Q41</f>
        <v>0</v>
      </c>
      <c r="O41" s="23"/>
      <c r="P41" s="23"/>
      <c r="Q41" s="23"/>
    </row>
    <row r="42" spans="1:17" ht="21" customHeight="1" x14ac:dyDescent="0.25">
      <c r="A42" s="77" t="s">
        <v>34</v>
      </c>
      <c r="B42" s="78"/>
      <c r="C42" s="78"/>
      <c r="D42" s="78"/>
      <c r="E42" s="79"/>
      <c r="F42" s="13"/>
      <c r="G42" s="13"/>
      <c r="H42" s="13"/>
      <c r="I42" s="13"/>
      <c r="J42" s="13"/>
      <c r="K42" s="13"/>
      <c r="L42" s="13"/>
      <c r="M42" s="13"/>
      <c r="N42" s="17">
        <f>N30+N40</f>
        <v>103819036.54582164</v>
      </c>
    </row>
    <row r="47" spans="1:17" x14ac:dyDescent="0.25">
      <c r="A47" s="19"/>
      <c r="B47" s="19"/>
    </row>
    <row r="48" spans="1:17" x14ac:dyDescent="0.25">
      <c r="A48" s="80" t="s">
        <v>58</v>
      </c>
      <c r="B48" s="80"/>
    </row>
    <row r="49" spans="1:2" x14ac:dyDescent="0.25">
      <c r="A49" s="76" t="s">
        <v>59</v>
      </c>
      <c r="B49" s="76"/>
    </row>
    <row r="50" spans="1:2" x14ac:dyDescent="0.25">
      <c r="A50" s="76" t="s">
        <v>60</v>
      </c>
      <c r="B50" s="76"/>
    </row>
    <row r="54" spans="1:2" x14ac:dyDescent="0.25">
      <c r="A54" s="4"/>
    </row>
  </sheetData>
  <mergeCells count="14">
    <mergeCell ref="A14:N14"/>
    <mergeCell ref="B1:N1"/>
    <mergeCell ref="B9:N9"/>
    <mergeCell ref="A11:N11"/>
    <mergeCell ref="A12:E12"/>
    <mergeCell ref="F12:N12"/>
    <mergeCell ref="A50:B50"/>
    <mergeCell ref="A48:B48"/>
    <mergeCell ref="A49:B49"/>
    <mergeCell ref="A30:M30"/>
    <mergeCell ref="A31:N31"/>
    <mergeCell ref="A40:M40"/>
    <mergeCell ref="A41:M41"/>
    <mergeCell ref="A42:E42"/>
  </mergeCells>
  <printOptions horizontalCentered="1" verticalCentered="1"/>
  <pageMargins left="0.23622047244094499" right="0.23622047244094499" top="0.143700787" bottom="0.39370078740157499" header="0.31496062992126" footer="0.31496062992126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9"/>
  <sheetViews>
    <sheetView topLeftCell="C31" zoomScaleNormal="100" workbookViewId="0">
      <selection activeCell="M41" sqref="M41"/>
    </sheetView>
  </sheetViews>
  <sheetFormatPr baseColWidth="10" defaultColWidth="10.85546875" defaultRowHeight="15" x14ac:dyDescent="0.25"/>
  <cols>
    <col min="1" max="1" width="8.7109375" customWidth="1"/>
    <col min="2" max="2" width="57.7109375" customWidth="1"/>
    <col min="3" max="3" width="8.5703125" customWidth="1"/>
    <col min="4" max="4" width="8.7109375" customWidth="1"/>
    <col min="5" max="5" width="9.85546875" customWidth="1"/>
    <col min="6" max="6" width="12.28515625" customWidth="1"/>
    <col min="7" max="7" width="9.85546875" customWidth="1"/>
    <col min="8" max="9" width="11.140625" customWidth="1"/>
    <col min="10" max="10" width="12.28515625" customWidth="1"/>
    <col min="11" max="11" width="13.7109375" customWidth="1"/>
    <col min="12" max="12" width="10.5703125" customWidth="1"/>
    <col min="13" max="13" width="19.42578125" customWidth="1"/>
    <col min="14" max="14" width="18.85546875" style="5" customWidth="1"/>
    <col min="15" max="15" width="20.28515625" style="5" customWidth="1"/>
    <col min="16" max="16" width="12.5703125" style="5" bestFit="1" customWidth="1"/>
  </cols>
  <sheetData>
    <row r="1" spans="1:13" x14ac:dyDescent="0.25">
      <c r="B1" s="82" t="s">
        <v>56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x14ac:dyDescent="0.2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B3" s="16" t="s">
        <v>36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x14ac:dyDescent="0.25">
      <c r="B4" s="15" t="s">
        <v>37</v>
      </c>
      <c r="C4" s="15"/>
      <c r="D4" s="15"/>
      <c r="E4" s="16"/>
      <c r="F4" s="16"/>
      <c r="G4" s="16"/>
      <c r="H4" s="16"/>
      <c r="I4" s="16"/>
      <c r="J4" s="16"/>
      <c r="K4" s="16"/>
      <c r="L4" s="16"/>
      <c r="M4" s="16"/>
    </row>
    <row r="5" spans="1:13" x14ac:dyDescent="0.25">
      <c r="B5" s="16" t="s">
        <v>38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x14ac:dyDescent="0.25">
      <c r="B6" s="16" t="s">
        <v>39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ht="44.25" customHeight="1" x14ac:dyDescent="0.25">
      <c r="B9" s="81" t="s">
        <v>57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</row>
    <row r="11" spans="1:13" ht="21.75" customHeight="1" x14ac:dyDescent="0.3">
      <c r="A11" s="71" t="s">
        <v>11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21.75" customHeight="1" x14ac:dyDescent="0.3">
      <c r="A12" s="72" t="s">
        <v>8</v>
      </c>
      <c r="B12" s="72"/>
      <c r="C12" s="72"/>
      <c r="D12" s="72"/>
      <c r="E12" s="72"/>
      <c r="F12" s="72" t="s">
        <v>9</v>
      </c>
      <c r="G12" s="72"/>
      <c r="H12" s="72"/>
      <c r="I12" s="72"/>
      <c r="J12" s="72"/>
      <c r="K12" s="72"/>
      <c r="L12" s="72"/>
      <c r="M12" s="72"/>
    </row>
    <row r="13" spans="1:13" ht="54" customHeight="1" x14ac:dyDescent="0.25">
      <c r="A13" s="1" t="s">
        <v>0</v>
      </c>
      <c r="B13" s="1" t="s">
        <v>10</v>
      </c>
      <c r="C13" s="1" t="s">
        <v>41</v>
      </c>
      <c r="D13" s="1" t="s">
        <v>40</v>
      </c>
      <c r="E13" s="7" t="s">
        <v>1</v>
      </c>
      <c r="F13" s="2" t="s">
        <v>5</v>
      </c>
      <c r="G13" s="2" t="s">
        <v>2</v>
      </c>
      <c r="H13" s="2" t="s">
        <v>6</v>
      </c>
      <c r="I13" s="2" t="s">
        <v>29</v>
      </c>
      <c r="J13" s="2" t="s">
        <v>28</v>
      </c>
      <c r="K13" s="2" t="s">
        <v>44</v>
      </c>
      <c r="L13" s="3" t="s">
        <v>7</v>
      </c>
      <c r="M13" s="3" t="s">
        <v>33</v>
      </c>
    </row>
    <row r="14" spans="1:13" ht="19.5" customHeight="1" x14ac:dyDescent="0.25">
      <c r="A14" s="70" t="s">
        <v>3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</row>
    <row r="15" spans="1:13" x14ac:dyDescent="0.25">
      <c r="A15" s="8">
        <v>1</v>
      </c>
      <c r="B15" s="11" t="s">
        <v>12</v>
      </c>
      <c r="C15" s="12" t="s">
        <v>42</v>
      </c>
      <c r="D15" s="12" t="s">
        <v>42</v>
      </c>
      <c r="E15" s="10" t="s">
        <v>26</v>
      </c>
      <c r="F15" s="9">
        <f>8800000+15000</f>
        <v>8815000</v>
      </c>
      <c r="G15" s="9">
        <f t="shared" ref="G15:G26" si="0">+F15*8%</f>
        <v>705200</v>
      </c>
      <c r="H15" s="9"/>
      <c r="I15" s="9"/>
      <c r="J15" s="9">
        <f t="shared" ref="J15:J27" si="1">+F15+G15</f>
        <v>9520200</v>
      </c>
      <c r="K15" s="9">
        <f t="shared" ref="K15:K29" si="2">+J15*10%</f>
        <v>952020</v>
      </c>
      <c r="L15" s="9">
        <f t="shared" ref="L15:L29" si="3">+K15*19%</f>
        <v>180883.8</v>
      </c>
      <c r="M15" s="9">
        <f t="shared" ref="M15:M29" si="4">+J15+L15</f>
        <v>9701083.8000000007</v>
      </c>
    </row>
    <row r="16" spans="1:13" x14ac:dyDescent="0.25">
      <c r="A16" s="8">
        <v>2</v>
      </c>
      <c r="B16" s="11" t="s">
        <v>13</v>
      </c>
      <c r="C16" s="12" t="s">
        <v>42</v>
      </c>
      <c r="D16" s="12" t="s">
        <v>42</v>
      </c>
      <c r="E16" s="10" t="s">
        <v>26</v>
      </c>
      <c r="F16" s="9">
        <f>+F15</f>
        <v>8815000</v>
      </c>
      <c r="G16" s="9">
        <f t="shared" si="0"/>
        <v>705200</v>
      </c>
      <c r="H16" s="9"/>
      <c r="I16" s="9"/>
      <c r="J16" s="9">
        <f t="shared" si="1"/>
        <v>9520200</v>
      </c>
      <c r="K16" s="9">
        <f t="shared" si="2"/>
        <v>952020</v>
      </c>
      <c r="L16" s="9">
        <f t="shared" si="3"/>
        <v>180883.8</v>
      </c>
      <c r="M16" s="9">
        <f t="shared" si="4"/>
        <v>9701083.8000000007</v>
      </c>
    </row>
    <row r="17" spans="1:13" x14ac:dyDescent="0.25">
      <c r="A17" s="8">
        <v>3</v>
      </c>
      <c r="B17" s="11" t="s">
        <v>14</v>
      </c>
      <c r="C17" s="12" t="s">
        <v>42</v>
      </c>
      <c r="D17" s="12" t="s">
        <v>42</v>
      </c>
      <c r="E17" s="10" t="s">
        <v>27</v>
      </c>
      <c r="F17" s="9">
        <f>+(((F15*55.97%)/15)*12)</f>
        <v>3947004.4</v>
      </c>
      <c r="G17" s="9">
        <f t="shared" si="0"/>
        <v>315760.35200000001</v>
      </c>
      <c r="H17" s="9"/>
      <c r="I17" s="9"/>
      <c r="J17" s="9">
        <f t="shared" si="1"/>
        <v>4262764.7520000003</v>
      </c>
      <c r="K17" s="9">
        <f t="shared" si="2"/>
        <v>426276.47520000004</v>
      </c>
      <c r="L17" s="9">
        <f t="shared" si="3"/>
        <v>80992.530288000009</v>
      </c>
      <c r="M17" s="9">
        <f t="shared" si="4"/>
        <v>4343757.282288</v>
      </c>
    </row>
    <row r="18" spans="1:13" x14ac:dyDescent="0.25">
      <c r="A18" s="8">
        <v>4</v>
      </c>
      <c r="B18" s="11" t="s">
        <v>15</v>
      </c>
      <c r="C18" s="12" t="s">
        <v>42</v>
      </c>
      <c r="D18" s="12" t="s">
        <v>42</v>
      </c>
      <c r="E18" s="10" t="s">
        <v>26</v>
      </c>
      <c r="F18" s="9">
        <f>+F15</f>
        <v>8815000</v>
      </c>
      <c r="G18" s="9">
        <f t="shared" si="0"/>
        <v>705200</v>
      </c>
      <c r="H18" s="9"/>
      <c r="I18" s="9"/>
      <c r="J18" s="9">
        <f t="shared" si="1"/>
        <v>9520200</v>
      </c>
      <c r="K18" s="9">
        <f t="shared" si="2"/>
        <v>952020</v>
      </c>
      <c r="L18" s="9">
        <f t="shared" si="3"/>
        <v>180883.8</v>
      </c>
      <c r="M18" s="9">
        <f t="shared" si="4"/>
        <v>9701083.8000000007</v>
      </c>
    </row>
    <row r="19" spans="1:13" x14ac:dyDescent="0.25">
      <c r="A19" s="8">
        <v>5</v>
      </c>
      <c r="B19" s="11" t="s">
        <v>16</v>
      </c>
      <c r="C19" s="12" t="s">
        <v>42</v>
      </c>
      <c r="D19" s="12" t="s">
        <v>42</v>
      </c>
      <c r="E19" s="10" t="s">
        <v>26</v>
      </c>
      <c r="F19" s="9">
        <f>+F15</f>
        <v>8815000</v>
      </c>
      <c r="G19" s="9">
        <f t="shared" si="0"/>
        <v>705200</v>
      </c>
      <c r="H19" s="9"/>
      <c r="I19" s="9"/>
      <c r="J19" s="9">
        <f t="shared" si="1"/>
        <v>9520200</v>
      </c>
      <c r="K19" s="9">
        <f t="shared" si="2"/>
        <v>952020</v>
      </c>
      <c r="L19" s="9">
        <f t="shared" si="3"/>
        <v>180883.8</v>
      </c>
      <c r="M19" s="9">
        <f t="shared" si="4"/>
        <v>9701083.8000000007</v>
      </c>
    </row>
    <row r="20" spans="1:13" x14ac:dyDescent="0.25">
      <c r="A20" s="8">
        <v>6</v>
      </c>
      <c r="B20" s="11" t="s">
        <v>17</v>
      </c>
      <c r="C20" s="12" t="s">
        <v>42</v>
      </c>
      <c r="D20" s="12" t="s">
        <v>42</v>
      </c>
      <c r="E20" s="10" t="s">
        <v>26</v>
      </c>
      <c r="F20" s="9">
        <f>+F15</f>
        <v>8815000</v>
      </c>
      <c r="G20" s="9">
        <f t="shared" si="0"/>
        <v>705200</v>
      </c>
      <c r="H20" s="9"/>
      <c r="I20" s="9"/>
      <c r="J20" s="9">
        <f t="shared" si="1"/>
        <v>9520200</v>
      </c>
      <c r="K20" s="9">
        <f t="shared" si="2"/>
        <v>952020</v>
      </c>
      <c r="L20" s="9">
        <f t="shared" si="3"/>
        <v>180883.8</v>
      </c>
      <c r="M20" s="9">
        <f t="shared" si="4"/>
        <v>9701083.8000000007</v>
      </c>
    </row>
    <row r="21" spans="1:13" x14ac:dyDescent="0.25">
      <c r="A21" s="8">
        <v>7</v>
      </c>
      <c r="B21" s="11" t="s">
        <v>18</v>
      </c>
      <c r="C21" s="12" t="s">
        <v>42</v>
      </c>
      <c r="D21" s="12" t="s">
        <v>42</v>
      </c>
      <c r="E21" s="10" t="s">
        <v>26</v>
      </c>
      <c r="F21" s="9">
        <f>+F15</f>
        <v>8815000</v>
      </c>
      <c r="G21" s="9">
        <f t="shared" si="0"/>
        <v>705200</v>
      </c>
      <c r="H21" s="9"/>
      <c r="I21" s="9"/>
      <c r="J21" s="9">
        <f t="shared" si="1"/>
        <v>9520200</v>
      </c>
      <c r="K21" s="9">
        <f t="shared" si="2"/>
        <v>952020</v>
      </c>
      <c r="L21" s="9">
        <f t="shared" si="3"/>
        <v>180883.8</v>
      </c>
      <c r="M21" s="9">
        <f t="shared" si="4"/>
        <v>9701083.8000000007</v>
      </c>
    </row>
    <row r="22" spans="1:13" x14ac:dyDescent="0.25">
      <c r="A22" s="8">
        <v>8</v>
      </c>
      <c r="B22" s="11" t="s">
        <v>19</v>
      </c>
      <c r="C22" s="12" t="s">
        <v>42</v>
      </c>
      <c r="D22" s="12" t="s">
        <v>42</v>
      </c>
      <c r="E22" s="10" t="s">
        <v>26</v>
      </c>
      <c r="F22" s="9">
        <f>+F15</f>
        <v>8815000</v>
      </c>
      <c r="G22" s="9">
        <f t="shared" si="0"/>
        <v>705200</v>
      </c>
      <c r="H22" s="9"/>
      <c r="I22" s="9"/>
      <c r="J22" s="9">
        <f t="shared" si="1"/>
        <v>9520200</v>
      </c>
      <c r="K22" s="9">
        <f t="shared" si="2"/>
        <v>952020</v>
      </c>
      <c r="L22" s="9">
        <f t="shared" si="3"/>
        <v>180883.8</v>
      </c>
      <c r="M22" s="9">
        <f t="shared" si="4"/>
        <v>9701083.8000000007</v>
      </c>
    </row>
    <row r="23" spans="1:13" x14ac:dyDescent="0.25">
      <c r="A23" s="8">
        <v>9</v>
      </c>
      <c r="B23" s="11" t="s">
        <v>20</v>
      </c>
      <c r="C23" s="12" t="s">
        <v>42</v>
      </c>
      <c r="D23" s="12" t="s">
        <v>42</v>
      </c>
      <c r="E23" s="10" t="s">
        <v>26</v>
      </c>
      <c r="F23" s="9">
        <f>+F15</f>
        <v>8815000</v>
      </c>
      <c r="G23" s="9">
        <f t="shared" si="0"/>
        <v>705200</v>
      </c>
      <c r="H23" s="9"/>
      <c r="I23" s="9"/>
      <c r="J23" s="9">
        <f t="shared" si="1"/>
        <v>9520200</v>
      </c>
      <c r="K23" s="9">
        <f t="shared" si="2"/>
        <v>952020</v>
      </c>
      <c r="L23" s="9">
        <f t="shared" si="3"/>
        <v>180883.8</v>
      </c>
      <c r="M23" s="9">
        <f t="shared" si="4"/>
        <v>9701083.8000000007</v>
      </c>
    </row>
    <row r="24" spans="1:13" x14ac:dyDescent="0.25">
      <c r="A24" s="8">
        <v>10</v>
      </c>
      <c r="B24" s="11" t="s">
        <v>21</v>
      </c>
      <c r="C24" s="12" t="s">
        <v>42</v>
      </c>
      <c r="D24" s="12" t="s">
        <v>42</v>
      </c>
      <c r="E24" s="10" t="s">
        <v>26</v>
      </c>
      <c r="F24" s="9">
        <f>+F15</f>
        <v>8815000</v>
      </c>
      <c r="G24" s="9">
        <f t="shared" si="0"/>
        <v>705200</v>
      </c>
      <c r="H24" s="9"/>
      <c r="I24" s="9"/>
      <c r="J24" s="9">
        <f t="shared" si="1"/>
        <v>9520200</v>
      </c>
      <c r="K24" s="9">
        <f t="shared" si="2"/>
        <v>952020</v>
      </c>
      <c r="L24" s="9">
        <f t="shared" si="3"/>
        <v>180883.8</v>
      </c>
      <c r="M24" s="9">
        <f t="shared" si="4"/>
        <v>9701083.8000000007</v>
      </c>
    </row>
    <row r="25" spans="1:13" x14ac:dyDescent="0.25">
      <c r="A25" s="8">
        <v>11</v>
      </c>
      <c r="B25" s="11" t="s">
        <v>22</v>
      </c>
      <c r="C25" s="12" t="s">
        <v>42</v>
      </c>
      <c r="D25" s="12" t="s">
        <v>42</v>
      </c>
      <c r="E25" s="10" t="s">
        <v>26</v>
      </c>
      <c r="F25" s="9">
        <f>+F15</f>
        <v>8815000</v>
      </c>
      <c r="G25" s="9">
        <f t="shared" si="0"/>
        <v>705200</v>
      </c>
      <c r="H25" s="9"/>
      <c r="I25" s="9"/>
      <c r="J25" s="9">
        <f t="shared" si="1"/>
        <v>9520200</v>
      </c>
      <c r="K25" s="9">
        <f t="shared" si="2"/>
        <v>952020</v>
      </c>
      <c r="L25" s="9">
        <f t="shared" si="3"/>
        <v>180883.8</v>
      </c>
      <c r="M25" s="9">
        <f t="shared" si="4"/>
        <v>9701083.8000000007</v>
      </c>
    </row>
    <row r="26" spans="1:13" x14ac:dyDescent="0.25">
      <c r="A26" s="8">
        <v>12</v>
      </c>
      <c r="B26" s="11" t="s">
        <v>23</v>
      </c>
      <c r="C26" s="12" t="s">
        <v>42</v>
      </c>
      <c r="D26" s="12" t="s">
        <v>42</v>
      </c>
      <c r="E26" s="10" t="s">
        <v>26</v>
      </c>
      <c r="F26" s="9">
        <f>+F15</f>
        <v>8815000</v>
      </c>
      <c r="G26" s="9">
        <f t="shared" si="0"/>
        <v>705200</v>
      </c>
      <c r="H26" s="9"/>
      <c r="I26" s="9"/>
      <c r="J26" s="9">
        <f t="shared" si="1"/>
        <v>9520200</v>
      </c>
      <c r="K26" s="9">
        <f t="shared" si="2"/>
        <v>952020</v>
      </c>
      <c r="L26" s="9">
        <f t="shared" si="3"/>
        <v>180883.8</v>
      </c>
      <c r="M26" s="9">
        <f t="shared" si="4"/>
        <v>9701083.8000000007</v>
      </c>
    </row>
    <row r="27" spans="1:13" x14ac:dyDescent="0.25">
      <c r="A27" s="8">
        <v>13</v>
      </c>
      <c r="B27" s="11" t="s">
        <v>24</v>
      </c>
      <c r="C27" s="12" t="s">
        <v>42</v>
      </c>
      <c r="D27" s="12" t="s">
        <v>42</v>
      </c>
      <c r="E27" s="10" t="s">
        <v>26</v>
      </c>
      <c r="F27" s="9">
        <f>10120000+15000</f>
        <v>10135000</v>
      </c>
      <c r="G27" s="9">
        <f t="shared" ref="G27:G29" si="5">+F27*8%</f>
        <v>810800</v>
      </c>
      <c r="H27" s="9"/>
      <c r="I27" s="9"/>
      <c r="J27" s="9">
        <f t="shared" si="1"/>
        <v>10945800</v>
      </c>
      <c r="K27" s="9">
        <f t="shared" si="2"/>
        <v>1094580</v>
      </c>
      <c r="L27" s="9">
        <f t="shared" si="3"/>
        <v>207970.2</v>
      </c>
      <c r="M27" s="9">
        <f t="shared" si="4"/>
        <v>11153770.199999999</v>
      </c>
    </row>
    <row r="28" spans="1:13" x14ac:dyDescent="0.25">
      <c r="A28" s="8">
        <v>14</v>
      </c>
      <c r="B28" s="11" t="s">
        <v>25</v>
      </c>
      <c r="C28" s="12" t="s">
        <v>42</v>
      </c>
      <c r="D28" s="12" t="s">
        <v>43</v>
      </c>
      <c r="E28" s="10" t="s">
        <v>26</v>
      </c>
      <c r="F28" s="9">
        <f>+F15</f>
        <v>8815000</v>
      </c>
      <c r="G28" s="9"/>
      <c r="H28" s="9">
        <f>+F28*10%</f>
        <v>881500</v>
      </c>
      <c r="I28" s="9"/>
      <c r="J28" s="9">
        <f>+F28+H28</f>
        <v>9696500</v>
      </c>
      <c r="K28" s="9">
        <f t="shared" si="2"/>
        <v>969650</v>
      </c>
      <c r="L28" s="9">
        <f t="shared" si="3"/>
        <v>184233.5</v>
      </c>
      <c r="M28" s="9">
        <f t="shared" si="4"/>
        <v>9880733.5</v>
      </c>
    </row>
    <row r="29" spans="1:13" x14ac:dyDescent="0.25">
      <c r="A29" s="8">
        <v>15</v>
      </c>
      <c r="B29" s="11" t="s">
        <v>52</v>
      </c>
      <c r="C29" s="12" t="s">
        <v>42</v>
      </c>
      <c r="D29" s="12" t="s">
        <v>42</v>
      </c>
      <c r="E29" s="10" t="s">
        <v>27</v>
      </c>
      <c r="F29" s="9">
        <f>4088976+7500</f>
        <v>4096476</v>
      </c>
      <c r="G29" s="9">
        <f t="shared" si="5"/>
        <v>327718.08</v>
      </c>
      <c r="H29" s="9"/>
      <c r="I29" s="9"/>
      <c r="J29" s="9">
        <f>+F29+G29</f>
        <v>4424194.08</v>
      </c>
      <c r="K29" s="9">
        <f t="shared" si="2"/>
        <v>442419.40800000005</v>
      </c>
      <c r="L29" s="9">
        <f t="shared" si="3"/>
        <v>84059.687520000007</v>
      </c>
      <c r="M29" s="9">
        <f t="shared" si="4"/>
        <v>4508253.7675200002</v>
      </c>
    </row>
    <row r="30" spans="1:13" ht="15" customHeight="1" x14ac:dyDescent="0.25">
      <c r="A30" s="73" t="s">
        <v>31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5"/>
      <c r="M30" s="9">
        <f>SUM(M15:M29)</f>
        <v>136598436.549808</v>
      </c>
    </row>
    <row r="31" spans="1:13" ht="21" customHeight="1" x14ac:dyDescent="0.25">
      <c r="A31" s="70" t="s">
        <v>4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ht="15" customHeight="1" x14ac:dyDescent="0.25">
      <c r="A32" s="8">
        <v>1</v>
      </c>
      <c r="B32" s="11" t="s">
        <v>46</v>
      </c>
      <c r="C32" s="12" t="s">
        <v>42</v>
      </c>
      <c r="D32" s="12" t="s">
        <v>42</v>
      </c>
      <c r="E32" s="12" t="s">
        <v>26</v>
      </c>
      <c r="F32" s="9">
        <f>+F15</f>
        <v>8815000</v>
      </c>
      <c r="G32" s="9">
        <f>+F32*8%</f>
        <v>705200</v>
      </c>
      <c r="H32" s="9"/>
      <c r="I32" s="9"/>
      <c r="J32" s="9">
        <f>+F32+G32</f>
        <v>9520200</v>
      </c>
      <c r="K32" s="9">
        <f t="shared" ref="K32:K39" si="6">+J32*10%</f>
        <v>952020</v>
      </c>
      <c r="L32" s="9">
        <f t="shared" ref="L32:L38" si="7">+K32*19%</f>
        <v>180883.8</v>
      </c>
      <c r="M32" s="9">
        <f t="shared" ref="M32:M39" si="8">+J32+L32</f>
        <v>9701083.8000000007</v>
      </c>
    </row>
    <row r="33" spans="1:16" x14ac:dyDescent="0.25">
      <c r="A33" s="8">
        <v>2</v>
      </c>
      <c r="B33" s="11" t="s">
        <v>47</v>
      </c>
      <c r="C33" s="12" t="s">
        <v>42</v>
      </c>
      <c r="D33" s="12" t="s">
        <v>42</v>
      </c>
      <c r="E33" s="10" t="s">
        <v>27</v>
      </c>
      <c r="F33" s="9">
        <f>4925360+10000</f>
        <v>4935360</v>
      </c>
      <c r="G33" s="9">
        <f>+F33*8%</f>
        <v>394828.79999999999</v>
      </c>
      <c r="H33" s="9"/>
      <c r="I33" s="9"/>
      <c r="J33" s="9">
        <f>+F33+G33</f>
        <v>5330188.8</v>
      </c>
      <c r="K33" s="9">
        <f t="shared" si="6"/>
        <v>533018.88</v>
      </c>
      <c r="L33" s="9">
        <f t="shared" si="7"/>
        <v>101273.58720000001</v>
      </c>
      <c r="M33" s="9">
        <f t="shared" si="8"/>
        <v>5431462.3871999998</v>
      </c>
    </row>
    <row r="34" spans="1:16" x14ac:dyDescent="0.25">
      <c r="A34" s="8">
        <v>3</v>
      </c>
      <c r="B34" s="11" t="s">
        <v>48</v>
      </c>
      <c r="C34" s="12" t="s">
        <v>42</v>
      </c>
      <c r="D34" s="12" t="s">
        <v>42</v>
      </c>
      <c r="E34" s="12" t="s">
        <v>26</v>
      </c>
      <c r="F34" s="9">
        <f>+F15</f>
        <v>8815000</v>
      </c>
      <c r="G34" s="9">
        <f>+F34*8%</f>
        <v>705200</v>
      </c>
      <c r="H34" s="9"/>
      <c r="I34" s="9"/>
      <c r="J34" s="9">
        <f>+F34+G34</f>
        <v>9520200</v>
      </c>
      <c r="K34" s="9">
        <f t="shared" si="6"/>
        <v>952020</v>
      </c>
      <c r="L34" s="9">
        <f t="shared" si="7"/>
        <v>180883.8</v>
      </c>
      <c r="M34" s="9">
        <f t="shared" si="8"/>
        <v>9701083.8000000007</v>
      </c>
    </row>
    <row r="35" spans="1:16" x14ac:dyDescent="0.25">
      <c r="A35" s="8">
        <v>4</v>
      </c>
      <c r="B35" s="11" t="s">
        <v>49</v>
      </c>
      <c r="C35" s="12" t="s">
        <v>42</v>
      </c>
      <c r="D35" s="12" t="s">
        <v>42</v>
      </c>
      <c r="E35" s="12" t="s">
        <v>26</v>
      </c>
      <c r="F35" s="9">
        <f>+F15</f>
        <v>8815000</v>
      </c>
      <c r="G35" s="9">
        <f>+F35*8%</f>
        <v>705200</v>
      </c>
      <c r="H35" s="9"/>
      <c r="I35" s="9"/>
      <c r="J35" s="9">
        <f>+F35+G35</f>
        <v>9520200</v>
      </c>
      <c r="K35" s="9">
        <f t="shared" si="6"/>
        <v>952020</v>
      </c>
      <c r="L35" s="9">
        <f t="shared" si="7"/>
        <v>180883.8</v>
      </c>
      <c r="M35" s="9">
        <f t="shared" si="8"/>
        <v>9701083.8000000007</v>
      </c>
    </row>
    <row r="36" spans="1:16" x14ac:dyDescent="0.25">
      <c r="A36" s="8">
        <v>5</v>
      </c>
      <c r="B36" s="11" t="s">
        <v>50</v>
      </c>
      <c r="C36" s="12" t="s">
        <v>42</v>
      </c>
      <c r="D36" s="12" t="s">
        <v>42</v>
      </c>
      <c r="E36" s="12" t="s">
        <v>26</v>
      </c>
      <c r="F36" s="9">
        <f>+F15</f>
        <v>8815000</v>
      </c>
      <c r="G36" s="9">
        <f>+F36*8%</f>
        <v>705200</v>
      </c>
      <c r="H36" s="9"/>
      <c r="I36" s="9"/>
      <c r="J36" s="9">
        <f>+F36+G36</f>
        <v>9520200</v>
      </c>
      <c r="K36" s="9">
        <f t="shared" si="6"/>
        <v>952020</v>
      </c>
      <c r="L36" s="9">
        <f t="shared" si="7"/>
        <v>180883.8</v>
      </c>
      <c r="M36" s="9">
        <f t="shared" si="8"/>
        <v>9701083.8000000007</v>
      </c>
    </row>
    <row r="37" spans="1:16" x14ac:dyDescent="0.25">
      <c r="A37" s="8">
        <v>6</v>
      </c>
      <c r="B37" s="11" t="s">
        <v>51</v>
      </c>
      <c r="C37" s="12" t="s">
        <v>43</v>
      </c>
      <c r="D37" s="12" t="s">
        <v>42</v>
      </c>
      <c r="E37" s="12" t="s">
        <v>26</v>
      </c>
      <c r="F37" s="9">
        <f>+F15</f>
        <v>8815000</v>
      </c>
      <c r="G37" s="9"/>
      <c r="H37" s="9"/>
      <c r="I37" s="9">
        <f>+F37*11%</f>
        <v>969650</v>
      </c>
      <c r="J37" s="9">
        <f>+F37+I37</f>
        <v>9784650</v>
      </c>
      <c r="K37" s="9">
        <f t="shared" si="6"/>
        <v>978465</v>
      </c>
      <c r="L37" s="9">
        <f t="shared" si="7"/>
        <v>185908.35</v>
      </c>
      <c r="M37" s="9">
        <f t="shared" si="8"/>
        <v>9970558.3499999996</v>
      </c>
    </row>
    <row r="38" spans="1:16" x14ac:dyDescent="0.25">
      <c r="A38" s="18">
        <v>7</v>
      </c>
      <c r="B38" s="11" t="s">
        <v>25</v>
      </c>
      <c r="C38" s="12" t="s">
        <v>42</v>
      </c>
      <c r="D38" s="12" t="s">
        <v>43</v>
      </c>
      <c r="E38" s="12" t="s">
        <v>26</v>
      </c>
      <c r="F38" s="9">
        <f>+F15</f>
        <v>8815000</v>
      </c>
      <c r="G38" s="9"/>
      <c r="H38" s="9">
        <f>+F38*10%</f>
        <v>881500</v>
      </c>
      <c r="I38" s="9"/>
      <c r="J38" s="9">
        <f>+F38+H38</f>
        <v>9696500</v>
      </c>
      <c r="K38" s="9">
        <f t="shared" si="6"/>
        <v>969650</v>
      </c>
      <c r="L38" s="9">
        <f t="shared" si="7"/>
        <v>184233.5</v>
      </c>
      <c r="M38" s="9">
        <f t="shared" si="8"/>
        <v>9880733.5</v>
      </c>
    </row>
    <row r="39" spans="1:16" x14ac:dyDescent="0.25">
      <c r="A39" s="18">
        <v>8</v>
      </c>
      <c r="B39" s="11" t="s">
        <v>45</v>
      </c>
      <c r="C39" s="12" t="s">
        <v>42</v>
      </c>
      <c r="D39" s="12" t="s">
        <v>42</v>
      </c>
      <c r="E39" s="12" t="s">
        <v>27</v>
      </c>
      <c r="F39" s="9">
        <f>+F29</f>
        <v>4096476</v>
      </c>
      <c r="G39" s="9">
        <f>+F39*8%</f>
        <v>327718.08</v>
      </c>
      <c r="H39" s="9"/>
      <c r="I39" s="9"/>
      <c r="J39" s="9">
        <f t="shared" ref="J39" si="9">+F39+G39</f>
        <v>4424194.08</v>
      </c>
      <c r="K39" s="9">
        <f t="shared" si="6"/>
        <v>442419.40800000005</v>
      </c>
      <c r="L39" s="9">
        <f t="shared" ref="L39" si="10">+K39*19%</f>
        <v>84059.687520000007</v>
      </c>
      <c r="M39" s="9">
        <f t="shared" si="8"/>
        <v>4508253.7675200002</v>
      </c>
    </row>
    <row r="40" spans="1:16" x14ac:dyDescent="0.25">
      <c r="A40" s="73" t="s">
        <v>32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5"/>
      <c r="M40" s="14">
        <f>SUM(M32:M39)</f>
        <v>68595343.204720005</v>
      </c>
    </row>
    <row r="41" spans="1:16" ht="21" customHeight="1" x14ac:dyDescent="0.25">
      <c r="A41" s="86" t="s">
        <v>30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8"/>
      <c r="M41" s="14">
        <f>12265000*80%</f>
        <v>9812000</v>
      </c>
    </row>
    <row r="42" spans="1:16" ht="21" customHeight="1" x14ac:dyDescent="0.25">
      <c r="A42" s="77" t="s">
        <v>34</v>
      </c>
      <c r="B42" s="78"/>
      <c r="C42" s="78"/>
      <c r="D42" s="78"/>
      <c r="E42" s="79"/>
      <c r="F42" s="13"/>
      <c r="G42" s="13"/>
      <c r="H42" s="13"/>
      <c r="I42" s="13"/>
      <c r="J42" s="13"/>
      <c r="K42" s="13"/>
      <c r="L42" s="13"/>
      <c r="M42" s="17">
        <f>M30+M40+M41</f>
        <v>215005779.75452799</v>
      </c>
    </row>
    <row r="43" spans="1:16" ht="21" customHeight="1" x14ac:dyDescent="0.25">
      <c r="A43" s="77" t="s">
        <v>53</v>
      </c>
      <c r="B43" s="78"/>
      <c r="C43" s="78"/>
      <c r="D43" s="78"/>
      <c r="E43" s="79"/>
      <c r="F43" s="13"/>
      <c r="G43" s="13"/>
      <c r="H43" s="13"/>
      <c r="I43" s="13"/>
      <c r="J43" s="13"/>
      <c r="K43" s="13"/>
      <c r="L43" s="13"/>
      <c r="M43" s="17">
        <f>+M42*5</f>
        <v>1075028898.77264</v>
      </c>
    </row>
    <row r="44" spans="1:16" ht="21" customHeight="1" x14ac:dyDescent="0.25">
      <c r="A44" s="77" t="s">
        <v>54</v>
      </c>
      <c r="B44" s="78"/>
      <c r="C44" s="78"/>
      <c r="D44" s="78"/>
      <c r="E44" s="79"/>
      <c r="F44" s="13"/>
      <c r="G44" s="13"/>
      <c r="H44" s="13"/>
      <c r="I44" s="13"/>
      <c r="J44" s="13"/>
      <c r="K44" s="13"/>
      <c r="L44" s="13"/>
      <c r="M44" s="17">
        <f>+M42/30*8</f>
        <v>57334874.601207465</v>
      </c>
    </row>
    <row r="45" spans="1:16" ht="21" customHeight="1" x14ac:dyDescent="0.25">
      <c r="A45" s="77" t="s">
        <v>35</v>
      </c>
      <c r="B45" s="78"/>
      <c r="C45" s="78"/>
      <c r="D45" s="78"/>
      <c r="E45" s="79"/>
      <c r="F45" s="13"/>
      <c r="G45" s="13"/>
      <c r="H45" s="13"/>
      <c r="I45" s="13"/>
      <c r="J45" s="13"/>
      <c r="K45" s="13"/>
      <c r="L45" s="13"/>
      <c r="M45" s="17">
        <f>+M43+M44</f>
        <v>1132363773.3738475</v>
      </c>
    </row>
    <row r="46" spans="1:16" ht="32.25" customHeight="1" x14ac:dyDescent="0.25">
      <c r="A46" s="89" t="s">
        <v>55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6"/>
      <c r="O46" s="6"/>
      <c r="P46" s="6"/>
    </row>
    <row r="47" spans="1:16" x14ac:dyDescent="0.25">
      <c r="A47" s="90" t="s">
        <v>61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</row>
    <row r="52" spans="1:2" x14ac:dyDescent="0.25">
      <c r="A52" s="19"/>
      <c r="B52" s="19"/>
    </row>
    <row r="53" spans="1:2" x14ac:dyDescent="0.25">
      <c r="A53" s="80" t="s">
        <v>58</v>
      </c>
      <c r="B53" s="80"/>
    </row>
    <row r="54" spans="1:2" x14ac:dyDescent="0.25">
      <c r="A54" s="76" t="s">
        <v>59</v>
      </c>
      <c r="B54" s="76"/>
    </row>
    <row r="55" spans="1:2" x14ac:dyDescent="0.25">
      <c r="A55" s="76" t="s">
        <v>60</v>
      </c>
      <c r="B55" s="76"/>
    </row>
    <row r="59" spans="1:2" x14ac:dyDescent="0.25">
      <c r="A59" s="4"/>
    </row>
  </sheetData>
  <mergeCells count="19">
    <mergeCell ref="A54:B54"/>
    <mergeCell ref="A55:B55"/>
    <mergeCell ref="B1:M1"/>
    <mergeCell ref="A46:M46"/>
    <mergeCell ref="A47:M47"/>
    <mergeCell ref="A31:M31"/>
    <mergeCell ref="A30:L30"/>
    <mergeCell ref="A40:L40"/>
    <mergeCell ref="A41:L41"/>
    <mergeCell ref="A42:E42"/>
    <mergeCell ref="A45:E45"/>
    <mergeCell ref="B9:M9"/>
    <mergeCell ref="A44:E44"/>
    <mergeCell ref="A43:E43"/>
    <mergeCell ref="A11:M11"/>
    <mergeCell ref="A12:E12"/>
    <mergeCell ref="F12:M12"/>
    <mergeCell ref="A14:M14"/>
    <mergeCell ref="A53:B53"/>
  </mergeCells>
  <printOptions horizontalCentered="1" verticalCentered="1"/>
  <pageMargins left="0.23622047244094499" right="0.23622047244094499" top="0.143700787" bottom="0.39370078740157499" header="0.31496062992126" footer="0.31496062992126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DICIEMBRE 2022+ENERO2023 13 dia</vt:lpstr>
      <vt:lpstr>2023 (2)</vt:lpstr>
      <vt:lpstr>Propuesta Economica 2024</vt:lpstr>
      <vt:lpstr>PROPUESTA INCREMENTO2023</vt:lpstr>
      <vt:lpstr>PROPUESTA ECONOMICA ORIGINAL</vt:lpstr>
      <vt:lpstr>'2023 (2)'!Área_de_impresión</vt:lpstr>
      <vt:lpstr>'DICIEMBRE 2022+ENERO2023 13 dia'!Área_de_impresión</vt:lpstr>
      <vt:lpstr>'Propuesta Economica 2024'!Área_de_impresión</vt:lpstr>
      <vt:lpstr>'PROPUESTA ECONOMICA ORIGINAL'!Área_de_impresión</vt:lpstr>
      <vt:lpstr>'PROPUESTA INCREMENTO2023'!Área_de_impresión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Usuario</cp:lastModifiedBy>
  <cp:lastPrinted>2024-01-02T15:22:23Z</cp:lastPrinted>
  <dcterms:created xsi:type="dcterms:W3CDTF">2016-01-12T12:47:22Z</dcterms:created>
  <dcterms:modified xsi:type="dcterms:W3CDTF">2024-05-27T20:06:27Z</dcterms:modified>
</cp:coreProperties>
</file>